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charts/chart1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charts/chart2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927"/>
  <workbookPr/>
  <mc:AlternateContent xmlns:mc="http://schemas.openxmlformats.org/markup-compatibility/2006">
    <mc:Choice Requires="x15">
      <x15ac:absPath xmlns:x15ac="http://schemas.microsoft.com/office/spreadsheetml/2010/11/ac" url="C:\Users\E. Tanner\Documents\HHG\"/>
    </mc:Choice>
  </mc:AlternateContent>
  <workbookProtection workbookAlgorithmName="SHA-512" workbookHashValue="TSuTXCrY7v9GuEtbuYbbTunt8GBqG5Lx3ZVPrF6cdeKXOY2DoaoLvGTTqcR88MhXjTTP3QgZWGW3Hg2IzDTUPw==" workbookSaltValue="O5SFiIilzbYwSXk/ogrpxw==" workbookSpinCount="100000" lockStructure="1"/>
  <bookViews>
    <workbookView xWindow="0" yWindow="0" windowWidth="28800" windowHeight="11610" firstSheet="5" activeTab="5"/>
  </bookViews>
  <sheets>
    <sheet name="Sheet1 (2)" sheetId="2" state="hidden" r:id="rId1"/>
    <sheet name="Sheet1" sheetId="4" state="hidden" r:id="rId2"/>
    <sheet name="GRAPHS ONLY" sheetId="3" state="hidden" r:id="rId3"/>
    <sheet name="NEW Assignment Problem" sheetId="6" state="hidden" r:id="rId4"/>
    <sheet name="Graphs for Paper" sheetId="9" state="hidden" r:id="rId5"/>
    <sheet name="Streamlined Dashboard" sheetId="7" r:id="rId6"/>
    <sheet name=" Graphs Fiscal, External" sheetId="13" state="hidden" r:id="rId7"/>
    <sheet name="OPTIONAL FULL MODEL APPENDIX" sheetId="1" r:id="rId8"/>
    <sheet name="Fiscal and CB Dashboard" sheetId="5" state="hidden" r:id="rId9"/>
    <sheet name="External Sector Dashboard" sheetId="8" state="hidden" r:id="rId10"/>
  </sheets>
  <calcPr calcId="171027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6" i="1" l="1"/>
  <c r="K14" i="1"/>
  <c r="I14" i="1"/>
  <c r="I8" i="1"/>
  <c r="F32" i="1"/>
  <c r="P135" i="7"/>
  <c r="L46" i="5"/>
  <c r="N46" i="5"/>
  <c r="G46" i="5"/>
  <c r="G45" i="5"/>
  <c r="N57" i="8"/>
  <c r="J57" i="8"/>
  <c r="L57" i="8"/>
  <c r="AA20" i="1"/>
  <c r="AA21" i="1"/>
  <c r="AA25" i="1"/>
  <c r="AA8" i="1"/>
  <c r="Y21" i="1"/>
  <c r="R31" i="7"/>
  <c r="R97" i="7"/>
  <c r="AA26" i="1"/>
  <c r="AA13" i="1"/>
  <c r="AA12" i="1"/>
  <c r="AA16" i="1"/>
  <c r="AA22" i="1"/>
  <c r="Y25" i="1"/>
  <c r="Y26" i="1"/>
  <c r="Y20" i="1"/>
  <c r="Y145" i="1"/>
  <c r="Y13" i="1"/>
  <c r="Y12" i="1"/>
  <c r="Y16" i="1"/>
  <c r="Y22" i="1"/>
  <c r="W25" i="1"/>
  <c r="W26" i="1"/>
  <c r="W20" i="1"/>
  <c r="W21" i="1"/>
  <c r="W13" i="1"/>
  <c r="W12" i="1"/>
  <c r="W40" i="1"/>
  <c r="W16" i="1"/>
  <c r="W22" i="1"/>
  <c r="W24" i="1"/>
  <c r="W9" i="1"/>
  <c r="W8" i="1"/>
  <c r="R6" i="7"/>
  <c r="AA4" i="1"/>
  <c r="F113" i="8"/>
  <c r="F143" i="8"/>
  <c r="H68" i="8"/>
  <c r="H89" i="8"/>
  <c r="H6" i="8"/>
  <c r="H7" i="8"/>
  <c r="H14" i="8"/>
  <c r="N6" i="7"/>
  <c r="W4" i="1"/>
  <c r="J84" i="8"/>
  <c r="J66" i="8"/>
  <c r="P6" i="7"/>
  <c r="Y4" i="1"/>
  <c r="L43" i="8"/>
  <c r="N43" i="8"/>
  <c r="N84" i="8"/>
  <c r="N66" i="8"/>
  <c r="L44" i="8"/>
  <c r="N44" i="8"/>
  <c r="AA9" i="1"/>
  <c r="Y9" i="1"/>
  <c r="Y8" i="1"/>
  <c r="N56" i="8"/>
  <c r="L56" i="8"/>
  <c r="J56" i="8"/>
  <c r="C34" i="1"/>
  <c r="C4" i="1"/>
  <c r="C12" i="1"/>
  <c r="C8" i="1"/>
  <c r="C9" i="1"/>
  <c r="C13" i="1"/>
  <c r="H33" i="5"/>
  <c r="K71" i="1"/>
  <c r="AA40" i="1"/>
  <c r="F64" i="1"/>
  <c r="K8" i="1"/>
  <c r="N8" i="1"/>
  <c r="N14" i="1"/>
  <c r="I19" i="1"/>
  <c r="I71" i="1"/>
  <c r="F58" i="1"/>
  <c r="I64" i="1"/>
  <c r="J103" i="1"/>
  <c r="H52" i="1"/>
  <c r="K64" i="1"/>
  <c r="Y40" i="1"/>
  <c r="H66" i="1"/>
  <c r="V160" i="1"/>
  <c r="V144" i="1"/>
  <c r="V146" i="1"/>
  <c r="V145" i="1"/>
  <c r="AA145" i="1"/>
  <c r="C21" i="1"/>
  <c r="C62" i="1"/>
  <c r="C19" i="1"/>
  <c r="F19" i="1"/>
  <c r="N305" i="8"/>
  <c r="L308" i="8"/>
  <c r="N308" i="8"/>
  <c r="L309" i="8"/>
  <c r="N309" i="8"/>
  <c r="H330" i="8"/>
  <c r="F161" i="5"/>
  <c r="F183" i="8"/>
  <c r="F165" i="5"/>
  <c r="F243" i="8"/>
  <c r="F185" i="5"/>
  <c r="F303" i="8"/>
  <c r="L305" i="8"/>
  <c r="J305" i="8"/>
  <c r="J307" i="8"/>
  <c r="F114" i="8"/>
  <c r="H65" i="5"/>
  <c r="H165" i="8"/>
  <c r="H270" i="8"/>
  <c r="H331" i="8"/>
  <c r="J332" i="8"/>
  <c r="H170" i="8"/>
  <c r="H358" i="8"/>
  <c r="H167" i="8"/>
  <c r="H355" i="8"/>
  <c r="H294" i="8"/>
  <c r="N280" i="8"/>
  <c r="L280" i="8"/>
  <c r="J280" i="8"/>
  <c r="L118" i="8"/>
  <c r="N118" i="8"/>
  <c r="N248" i="8"/>
  <c r="L119" i="8"/>
  <c r="N119" i="8"/>
  <c r="N249" i="8"/>
  <c r="N289" i="8"/>
  <c r="N266" i="8"/>
  <c r="L248" i="8"/>
  <c r="L289" i="8"/>
  <c r="L266" i="8"/>
  <c r="L249" i="8"/>
  <c r="J248" i="8"/>
  <c r="J249" i="8"/>
  <c r="H271" i="8"/>
  <c r="N258" i="8"/>
  <c r="L258" i="8"/>
  <c r="J258" i="8"/>
  <c r="N257" i="8"/>
  <c r="L257" i="8"/>
  <c r="J257" i="8"/>
  <c r="N256" i="8"/>
  <c r="L256" i="8"/>
  <c r="J256" i="8"/>
  <c r="N252" i="8"/>
  <c r="L252" i="8"/>
  <c r="J252" i="8"/>
  <c r="N246" i="8"/>
  <c r="L246" i="8"/>
  <c r="J246" i="8"/>
  <c r="H83" i="5"/>
  <c r="N318" i="8"/>
  <c r="L318" i="8"/>
  <c r="J318" i="8"/>
  <c r="N317" i="8"/>
  <c r="L317" i="8"/>
  <c r="J317" i="8"/>
  <c r="N316" i="8"/>
  <c r="L316" i="8"/>
  <c r="J316" i="8"/>
  <c r="N312" i="8"/>
  <c r="L312" i="8"/>
  <c r="J312" i="8"/>
  <c r="N306" i="8"/>
  <c r="N307" i="8"/>
  <c r="L306" i="8"/>
  <c r="J306" i="8"/>
  <c r="H67" i="5"/>
  <c r="H92" i="8"/>
  <c r="N201" i="5"/>
  <c r="L307" i="8"/>
  <c r="H260" i="8"/>
  <c r="N156" i="5"/>
  <c r="L156" i="5"/>
  <c r="J156" i="5"/>
  <c r="F149" i="5"/>
  <c r="F191" i="5"/>
  <c r="F172" i="5"/>
  <c r="N198" i="5"/>
  <c r="L198" i="5"/>
  <c r="J198" i="5"/>
  <c r="N182" i="5"/>
  <c r="H222" i="5"/>
  <c r="H414" i="8"/>
  <c r="N179" i="8"/>
  <c r="L179" i="8"/>
  <c r="J179" i="8"/>
  <c r="P100" i="7"/>
  <c r="P129" i="7"/>
  <c r="R100" i="7"/>
  <c r="R129" i="7"/>
  <c r="N129" i="7"/>
  <c r="N130" i="7"/>
  <c r="N136" i="7"/>
  <c r="N132" i="7"/>
  <c r="N138" i="7"/>
  <c r="N135" i="7"/>
  <c r="P99" i="7"/>
  <c r="P101" i="7"/>
  <c r="P106" i="7"/>
  <c r="R99" i="7"/>
  <c r="R103" i="7"/>
  <c r="N105" i="7"/>
  <c r="P105" i="7"/>
  <c r="P83" i="7"/>
  <c r="R83" i="7"/>
  <c r="P103" i="7"/>
  <c r="P108" i="7"/>
  <c r="N103" i="7"/>
  <c r="N108" i="7"/>
  <c r="N102" i="7"/>
  <c r="N107" i="7"/>
  <c r="N101" i="7"/>
  <c r="N106" i="7"/>
  <c r="N31" i="7"/>
  <c r="N97" i="7"/>
  <c r="N149" i="7"/>
  <c r="P31" i="7"/>
  <c r="P97" i="7"/>
  <c r="L118" i="7"/>
  <c r="W159" i="1"/>
  <c r="AD99" i="1"/>
  <c r="AA6" i="1"/>
  <c r="AA5" i="1"/>
  <c r="Y6" i="1"/>
  <c r="Y5" i="1"/>
  <c r="W6" i="1"/>
  <c r="W5" i="1"/>
  <c r="C59" i="1"/>
  <c r="C58" i="1"/>
  <c r="L68" i="7"/>
  <c r="L67" i="7"/>
  <c r="L66" i="7"/>
  <c r="L65" i="7"/>
  <c r="L64" i="7"/>
  <c r="L63" i="7"/>
  <c r="L62" i="7"/>
  <c r="L61" i="7"/>
  <c r="R35" i="7"/>
  <c r="P35" i="7"/>
  <c r="N35" i="7"/>
  <c r="W144" i="1"/>
  <c r="W145" i="1"/>
  <c r="W146" i="1"/>
  <c r="W24" i="6"/>
  <c r="AA24" i="6"/>
  <c r="S38" i="6"/>
  <c r="S37" i="6"/>
  <c r="T15" i="6"/>
  <c r="T16" i="6"/>
  <c r="T17" i="6"/>
  <c r="T18" i="6"/>
  <c r="T19" i="6"/>
  <c r="T20" i="6"/>
  <c r="T21" i="6"/>
  <c r="T13" i="6"/>
  <c r="T12" i="6"/>
  <c r="T11" i="6"/>
  <c r="T10" i="6"/>
  <c r="T9" i="6"/>
  <c r="T8" i="6"/>
  <c r="T7" i="6"/>
  <c r="CE17" i="1"/>
  <c r="CE16" i="1"/>
  <c r="CE15" i="1"/>
  <c r="CE14" i="1"/>
  <c r="CE13" i="1"/>
  <c r="CE12" i="1"/>
  <c r="CE11" i="1"/>
  <c r="CE10" i="1"/>
  <c r="CE9" i="1"/>
  <c r="CE8" i="1"/>
  <c r="CE7" i="1"/>
  <c r="CE18" i="1"/>
  <c r="CE19" i="1"/>
  <c r="CE20" i="1"/>
  <c r="CE21" i="1"/>
  <c r="CE22" i="1"/>
  <c r="CE23" i="1"/>
  <c r="CE24" i="1"/>
  <c r="CE25" i="1"/>
  <c r="CE26" i="1"/>
  <c r="CE27" i="1"/>
  <c r="H84" i="5"/>
  <c r="H85" i="5"/>
  <c r="BY53" i="1"/>
  <c r="CA53" i="1"/>
  <c r="CA49" i="1"/>
  <c r="BY44" i="1"/>
  <c r="CA44" i="1"/>
  <c r="CA40" i="1"/>
  <c r="BY35" i="1"/>
  <c r="CA35" i="1"/>
  <c r="CA31" i="1"/>
  <c r="AP53" i="1"/>
  <c r="AR53" i="1"/>
  <c r="AR49" i="1"/>
  <c r="AP44" i="1"/>
  <c r="AR44" i="1"/>
  <c r="AR40" i="1"/>
  <c r="AP35" i="1"/>
  <c r="AR35" i="1"/>
  <c r="AR31" i="1"/>
  <c r="AN18" i="1"/>
  <c r="AN19" i="1"/>
  <c r="AN20" i="1"/>
  <c r="AN21" i="1"/>
  <c r="AN22" i="1"/>
  <c r="AN23" i="1"/>
  <c r="AN24" i="1"/>
  <c r="AN25" i="1"/>
  <c r="AN26" i="1"/>
  <c r="AN27" i="1"/>
  <c r="AN16" i="1"/>
  <c r="AN15" i="1"/>
  <c r="AN14" i="1"/>
  <c r="AN13" i="1"/>
  <c r="AN12" i="1"/>
  <c r="AN11" i="1"/>
  <c r="AN10" i="1"/>
  <c r="AN9" i="1"/>
  <c r="AN8" i="1"/>
  <c r="AN7" i="1"/>
  <c r="I9" i="6"/>
  <c r="I15" i="6"/>
  <c r="H44" i="1"/>
  <c r="C9" i="2"/>
  <c r="N163" i="5"/>
  <c r="J294" i="8"/>
  <c r="L294" i="8"/>
  <c r="N294" i="8"/>
  <c r="J289" i="8"/>
  <c r="J266" i="8"/>
  <c r="N181" i="5"/>
  <c r="J181" i="5"/>
  <c r="L181" i="5"/>
  <c r="C18" i="1"/>
  <c r="C26" i="1"/>
  <c r="C27" i="1"/>
  <c r="C14" i="1"/>
  <c r="P131" i="7"/>
  <c r="P137" i="7"/>
  <c r="P132" i="7"/>
  <c r="P138" i="7"/>
  <c r="P130" i="7"/>
  <c r="R130" i="7"/>
  <c r="R131" i="7"/>
  <c r="R137" i="7"/>
  <c r="R132" i="7"/>
  <c r="R101" i="7"/>
  <c r="R106" i="7"/>
  <c r="V148" i="1"/>
  <c r="N82" i="7"/>
  <c r="R102" i="7"/>
  <c r="I32" i="1"/>
  <c r="K12" i="6"/>
  <c r="L84" i="8"/>
  <c r="L66" i="8"/>
  <c r="L136" i="8"/>
  <c r="AA144" i="1"/>
  <c r="AA148" i="1"/>
  <c r="AA150" i="1"/>
  <c r="W148" i="1"/>
  <c r="C11" i="2"/>
  <c r="C10" i="2"/>
  <c r="C13" i="2"/>
  <c r="H449" i="8"/>
  <c r="N98" i="7"/>
  <c r="N150" i="7"/>
  <c r="N131" i="7"/>
  <c r="N137" i="7"/>
  <c r="N150" i="5"/>
  <c r="H171" i="8"/>
  <c r="H298" i="8"/>
  <c r="H87" i="8"/>
  <c r="N87" i="8"/>
  <c r="H297" i="8"/>
  <c r="H506" i="8"/>
  <c r="H507" i="8"/>
  <c r="P102" i="7"/>
  <c r="P107" i="7"/>
  <c r="F141" i="8"/>
  <c r="J150" i="5"/>
  <c r="L150" i="5"/>
  <c r="Y24" i="1"/>
  <c r="R138" i="7"/>
  <c r="R136" i="7"/>
  <c r="R105" i="7"/>
  <c r="P136" i="7"/>
  <c r="R108" i="7"/>
  <c r="R107" i="7"/>
  <c r="J143" i="8"/>
  <c r="N148" i="8"/>
  <c r="L143" i="8"/>
  <c r="P98" i="7"/>
  <c r="P150" i="7"/>
  <c r="P82" i="7"/>
  <c r="P85" i="7"/>
  <c r="P120" i="7"/>
  <c r="N165" i="8"/>
  <c r="J136" i="8"/>
  <c r="H408" i="8"/>
  <c r="N408" i="8"/>
  <c r="J148" i="8"/>
  <c r="F142" i="8"/>
  <c r="N143" i="8"/>
  <c r="N136" i="8"/>
  <c r="L148" i="8"/>
  <c r="P114" i="8"/>
  <c r="Y144" i="1"/>
  <c r="Y148" i="1"/>
  <c r="R98" i="7"/>
  <c r="R150" i="7"/>
  <c r="R82" i="7"/>
  <c r="R149" i="7"/>
  <c r="AA24" i="1"/>
  <c r="P149" i="7"/>
  <c r="I26" i="6"/>
  <c r="M32" i="6"/>
  <c r="H353" i="8"/>
  <c r="H292" i="8"/>
  <c r="H93" i="8"/>
  <c r="L87" i="8"/>
  <c r="L165" i="8"/>
  <c r="H168" i="8"/>
  <c r="L6" i="8"/>
  <c r="H10" i="8"/>
  <c r="N6" i="8"/>
  <c r="J6" i="8"/>
  <c r="H8" i="8"/>
  <c r="M31" i="6"/>
  <c r="N7" i="8"/>
  <c r="J7" i="8"/>
  <c r="L7" i="8"/>
  <c r="J87" i="8"/>
  <c r="H90" i="8"/>
  <c r="Y150" i="1"/>
  <c r="Y155" i="1"/>
  <c r="P71" i="7"/>
  <c r="G8" i="1"/>
  <c r="F14" i="1"/>
  <c r="C20" i="1"/>
  <c r="H359" i="8"/>
  <c r="N85" i="7"/>
  <c r="N120" i="7"/>
  <c r="N86" i="7"/>
  <c r="N121" i="7"/>
  <c r="N87" i="7"/>
  <c r="N122" i="7"/>
  <c r="H46" i="1"/>
  <c r="AA146" i="1"/>
  <c r="W213" i="1"/>
  <c r="J119" i="1"/>
  <c r="W150" i="1"/>
  <c r="K44" i="1"/>
  <c r="P87" i="7"/>
  <c r="P122" i="7"/>
  <c r="P86" i="7"/>
  <c r="P121" i="7"/>
  <c r="Y146" i="1"/>
  <c r="L408" i="8"/>
  <c r="J408" i="8"/>
  <c r="Y152" i="1"/>
  <c r="AA155" i="1"/>
  <c r="R71" i="7"/>
  <c r="AA152" i="1"/>
  <c r="R87" i="7"/>
  <c r="R122" i="7"/>
  <c r="R86" i="7"/>
  <c r="R121" i="7"/>
  <c r="R85" i="7"/>
  <c r="R120" i="7"/>
  <c r="H295" i="8"/>
  <c r="H356" i="8"/>
  <c r="N292" i="8"/>
  <c r="N295" i="8"/>
  <c r="L292" i="8"/>
  <c r="L295" i="8"/>
  <c r="J292" i="8"/>
  <c r="J295" i="8"/>
  <c r="L10" i="8"/>
  <c r="L12" i="8"/>
  <c r="L38" i="8"/>
  <c r="L8" i="8"/>
  <c r="N10" i="8"/>
  <c r="N12" i="8"/>
  <c r="N8" i="8"/>
  <c r="J165" i="8"/>
  <c r="J8" i="8"/>
  <c r="J10" i="8"/>
  <c r="J12" i="8"/>
  <c r="J38" i="8"/>
  <c r="J111" i="1"/>
  <c r="J101" i="1"/>
  <c r="J106" i="1"/>
  <c r="J117" i="1"/>
  <c r="J98" i="1"/>
  <c r="I22" i="6"/>
  <c r="Y125" i="1"/>
  <c r="P58" i="7"/>
  <c r="W125" i="1"/>
  <c r="N58" i="7"/>
  <c r="AA125" i="1"/>
  <c r="R58" i="7"/>
  <c r="C22" i="1"/>
  <c r="W155" i="1"/>
  <c r="N71" i="7"/>
  <c r="W152" i="1"/>
  <c r="L12" i="6"/>
  <c r="I12" i="6"/>
  <c r="N38" i="8"/>
  <c r="R74" i="7"/>
  <c r="N74" i="7"/>
  <c r="P74" i="7"/>
  <c r="J95" i="1"/>
  <c r="P112" i="7"/>
  <c r="AA14" i="6"/>
  <c r="AB8" i="6"/>
  <c r="Z15" i="6"/>
  <c r="L32" i="6"/>
  <c r="AB13" i="6"/>
  <c r="AA18" i="6"/>
  <c r="AA10" i="6"/>
  <c r="AA8" i="6"/>
  <c r="AB16" i="6"/>
  <c r="Z19" i="6"/>
  <c r="Z7" i="6"/>
  <c r="AA19" i="6"/>
  <c r="Z13" i="6"/>
  <c r="Z14" i="6"/>
  <c r="Z18" i="6"/>
  <c r="Z21" i="6"/>
  <c r="AB7" i="6"/>
  <c r="AB20" i="6"/>
  <c r="AA11" i="6"/>
  <c r="Z12" i="6"/>
  <c r="AA13" i="6"/>
  <c r="AB11" i="6"/>
  <c r="Z11" i="6"/>
  <c r="Z8" i="6"/>
  <c r="AA15" i="6"/>
  <c r="Z17" i="6"/>
  <c r="AB14" i="6"/>
  <c r="AA7" i="6"/>
  <c r="AB15" i="6"/>
  <c r="AA20" i="6"/>
  <c r="AA12" i="6"/>
  <c r="Z10" i="6"/>
  <c r="Z16" i="6"/>
  <c r="AA21" i="6"/>
  <c r="Z9" i="6"/>
  <c r="AA17" i="6"/>
  <c r="AB10" i="6"/>
  <c r="AB19" i="6"/>
  <c r="AB9" i="6"/>
  <c r="AA16" i="6"/>
  <c r="AB18" i="6"/>
  <c r="AB21" i="6"/>
  <c r="Z20" i="6"/>
  <c r="AA9" i="6"/>
  <c r="AB17" i="6"/>
  <c r="AB12" i="6"/>
  <c r="N91" i="7"/>
  <c r="W50" i="1"/>
  <c r="J125" i="1"/>
  <c r="W62" i="1"/>
  <c r="N111" i="7"/>
  <c r="P113" i="7"/>
  <c r="N113" i="7"/>
  <c r="X9" i="6"/>
  <c r="W14" i="6"/>
  <c r="V8" i="6"/>
  <c r="W21" i="6"/>
  <c r="W11" i="6"/>
  <c r="V12" i="6"/>
  <c r="V7" i="6"/>
  <c r="X11" i="6"/>
  <c r="V21" i="6"/>
  <c r="L31" i="6"/>
  <c r="W7" i="6"/>
  <c r="X14" i="6"/>
  <c r="W8" i="6"/>
  <c r="W10" i="6"/>
  <c r="W13" i="6"/>
  <c r="W19" i="6"/>
  <c r="V16" i="6"/>
  <c r="X19" i="6"/>
  <c r="W18" i="6"/>
  <c r="V11" i="6"/>
  <c r="X8" i="6"/>
  <c r="V14" i="6"/>
  <c r="X17" i="6"/>
  <c r="V10" i="6"/>
  <c r="W20" i="6"/>
  <c r="W16" i="6"/>
  <c r="X7" i="6"/>
  <c r="V17" i="6"/>
  <c r="X15" i="6"/>
  <c r="X10" i="6"/>
  <c r="V13" i="6"/>
  <c r="W12" i="6"/>
  <c r="V19" i="6"/>
  <c r="X18" i="6"/>
  <c r="W9" i="6"/>
  <c r="X12" i="6"/>
  <c r="V9" i="6"/>
  <c r="W17" i="6"/>
  <c r="X21" i="6"/>
  <c r="V18" i="6"/>
  <c r="X13" i="6"/>
  <c r="W15" i="6"/>
  <c r="X20" i="6"/>
  <c r="X16" i="6"/>
  <c r="V20" i="6"/>
  <c r="V15" i="6"/>
  <c r="AA43" i="1"/>
  <c r="R90" i="7"/>
  <c r="Y43" i="1"/>
  <c r="R141" i="7"/>
  <c r="R112" i="7"/>
  <c r="N141" i="7"/>
  <c r="Y35" i="1"/>
  <c r="AA35" i="1"/>
  <c r="P91" i="7"/>
  <c r="P89" i="7"/>
  <c r="AA62" i="1"/>
  <c r="N142" i="7"/>
  <c r="R142" i="7"/>
  <c r="P143" i="7"/>
  <c r="W35" i="1"/>
  <c r="AA50" i="1"/>
  <c r="Y50" i="1"/>
  <c r="R89" i="7"/>
  <c r="Y62" i="1"/>
  <c r="R113" i="7"/>
  <c r="P141" i="7"/>
  <c r="R143" i="7"/>
  <c r="AA209" i="1"/>
  <c r="W211" i="1"/>
  <c r="N90" i="7"/>
  <c r="R91" i="7"/>
  <c r="R111" i="7"/>
  <c r="P142" i="7"/>
  <c r="W43" i="1"/>
  <c r="N112" i="7"/>
  <c r="P111" i="7"/>
  <c r="N143" i="7"/>
  <c r="J122" i="1"/>
  <c r="L122" i="1"/>
  <c r="W209" i="1"/>
  <c r="Y209" i="1"/>
  <c r="P90" i="7"/>
  <c r="N89" i="1"/>
  <c r="N89" i="7"/>
  <c r="L35" i="6" a="1"/>
  <c r="J127" i="1"/>
  <c r="J129" i="1"/>
  <c r="O114" i="1"/>
  <c r="J132" i="1"/>
  <c r="AA19" i="1"/>
  <c r="W19" i="1"/>
  <c r="Y19" i="1"/>
  <c r="N22" i="7"/>
  <c r="N80" i="7"/>
  <c r="P22" i="7"/>
  <c r="P80" i="7"/>
  <c r="P81" i="7"/>
  <c r="R22" i="7"/>
  <c r="R80" i="7"/>
  <c r="L36" i="6"/>
  <c r="M36" i="6"/>
  <c r="L35" i="6"/>
  <c r="M35" i="6"/>
  <c r="P151" i="7"/>
  <c r="R151" i="7"/>
  <c r="R81" i="7"/>
  <c r="AR24" i="1"/>
  <c r="BZ21" i="1"/>
  <c r="BD8" i="1"/>
  <c r="AX8" i="1"/>
  <c r="BK8" i="1"/>
  <c r="BZ10" i="1"/>
  <c r="BD9" i="1"/>
  <c r="AX9" i="1"/>
  <c r="BK9" i="1"/>
  <c r="Y56" i="1"/>
  <c r="Y57" i="1"/>
  <c r="AR18" i="1"/>
  <c r="Y55" i="1"/>
  <c r="Y67" i="1"/>
  <c r="AR8" i="1"/>
  <c r="Y199" i="1"/>
  <c r="BD22" i="1"/>
  <c r="AX22" i="1"/>
  <c r="BK22" i="1"/>
  <c r="BD14" i="1"/>
  <c r="AX14" i="1"/>
  <c r="BK14" i="1"/>
  <c r="BZ16" i="1"/>
  <c r="BZ22" i="1"/>
  <c r="AR27" i="1"/>
  <c r="BD25" i="1"/>
  <c r="AX25" i="1"/>
  <c r="BK25" i="1"/>
  <c r="BD24" i="1"/>
  <c r="AX24" i="1"/>
  <c r="BK24" i="1"/>
  <c r="BZ27" i="1"/>
  <c r="AR10" i="1"/>
  <c r="BZ13" i="1"/>
  <c r="Y196" i="1"/>
  <c r="Y191" i="1"/>
  <c r="BZ9" i="1"/>
  <c r="BD7" i="1"/>
  <c r="AX7" i="1"/>
  <c r="BK7" i="1"/>
  <c r="BD26" i="1"/>
  <c r="AX26" i="1"/>
  <c r="BK26" i="1"/>
  <c r="BZ8" i="1"/>
  <c r="BZ18" i="1"/>
  <c r="Y59" i="1"/>
  <c r="BD12" i="1"/>
  <c r="AX12" i="1"/>
  <c r="BK12" i="1"/>
  <c r="AR20" i="1"/>
  <c r="Y186" i="1"/>
  <c r="BD11" i="1"/>
  <c r="AX11" i="1"/>
  <c r="BK11" i="1"/>
  <c r="AR17" i="1"/>
  <c r="AR22" i="1"/>
  <c r="BZ24" i="1"/>
  <c r="BD19" i="1"/>
  <c r="AX19" i="1"/>
  <c r="BK19" i="1"/>
  <c r="AR25" i="1"/>
  <c r="Y201" i="1"/>
  <c r="BD15" i="1"/>
  <c r="AX15" i="1"/>
  <c r="BK15" i="1"/>
  <c r="BZ20" i="1"/>
  <c r="Y183" i="1"/>
  <c r="BZ26" i="1"/>
  <c r="AR14" i="1"/>
  <c r="BZ17" i="1"/>
  <c r="BZ19" i="1"/>
  <c r="BZ25" i="1"/>
  <c r="AR16" i="1"/>
  <c r="AR11" i="1"/>
  <c r="BZ15" i="1"/>
  <c r="BD20" i="1"/>
  <c r="AX20" i="1"/>
  <c r="BK20" i="1"/>
  <c r="BD23" i="1"/>
  <c r="AX23" i="1"/>
  <c r="BK23" i="1"/>
  <c r="Y193" i="1"/>
  <c r="AR26" i="1"/>
  <c r="Y200" i="1"/>
  <c r="BZ23" i="1"/>
  <c r="Y188" i="1"/>
  <c r="BZ11" i="1"/>
  <c r="Y206" i="1"/>
  <c r="BD16" i="1"/>
  <c r="AX16" i="1"/>
  <c r="BK16" i="1"/>
  <c r="Y202" i="1"/>
  <c r="BD13" i="1"/>
  <c r="AX13" i="1"/>
  <c r="BK13" i="1"/>
  <c r="AR15" i="1"/>
  <c r="BZ7" i="1"/>
  <c r="BD10" i="1"/>
  <c r="AX10" i="1"/>
  <c r="BK10" i="1"/>
  <c r="BD17" i="1"/>
  <c r="AX17" i="1"/>
  <c r="BK17" i="1"/>
  <c r="Y192" i="1"/>
  <c r="Y167" i="1"/>
  <c r="Y207" i="1"/>
  <c r="AR21" i="1"/>
  <c r="BZ14" i="1"/>
  <c r="AR9" i="1"/>
  <c r="AR19" i="1"/>
  <c r="Y184" i="1"/>
  <c r="AR23" i="1"/>
  <c r="AR12" i="1"/>
  <c r="BD18" i="1"/>
  <c r="AX18" i="1"/>
  <c r="BK18" i="1"/>
  <c r="BD21" i="1"/>
  <c r="AX21" i="1"/>
  <c r="BK21" i="1"/>
  <c r="Y194" i="1"/>
  <c r="Y166" i="1"/>
  <c r="BD27" i="1"/>
  <c r="AX27" i="1"/>
  <c r="BK27" i="1"/>
  <c r="AR7" i="1"/>
  <c r="Y204" i="1"/>
  <c r="BZ12" i="1"/>
  <c r="AR13" i="1"/>
  <c r="Y187" i="1"/>
  <c r="N151" i="7"/>
  <c r="N81" i="7"/>
  <c r="AP18" i="1"/>
  <c r="AP22" i="1"/>
  <c r="BB15" i="1"/>
  <c r="AV15" i="1"/>
  <c r="BI15" i="1"/>
  <c r="W201" i="1"/>
  <c r="W204" i="1"/>
  <c r="BB26" i="1"/>
  <c r="AV26" i="1"/>
  <c r="BI26" i="1"/>
  <c r="BX7" i="1"/>
  <c r="BB23" i="1"/>
  <c r="AV23" i="1"/>
  <c r="BI23" i="1"/>
  <c r="AP9" i="1"/>
  <c r="BB7" i="1"/>
  <c r="AV7" i="1"/>
  <c r="BI7" i="1"/>
  <c r="BB14" i="1"/>
  <c r="AV14" i="1"/>
  <c r="BI14" i="1"/>
  <c r="BB13" i="1"/>
  <c r="AV13" i="1"/>
  <c r="BI13" i="1"/>
  <c r="BB17" i="1"/>
  <c r="AV17" i="1"/>
  <c r="BI17" i="1"/>
  <c r="AP21" i="1"/>
  <c r="BX22" i="1"/>
  <c r="W184" i="1"/>
  <c r="W206" i="1"/>
  <c r="BX21" i="1"/>
  <c r="AP12" i="1"/>
  <c r="W55" i="1"/>
  <c r="W67" i="1"/>
  <c r="AP26" i="1"/>
  <c r="BB19" i="1"/>
  <c r="AV19" i="1"/>
  <c r="BI19" i="1"/>
  <c r="W166" i="1"/>
  <c r="BX25" i="1"/>
  <c r="BB12" i="1"/>
  <c r="AV12" i="1"/>
  <c r="BI12" i="1"/>
  <c r="BX26" i="1"/>
  <c r="BX27" i="1"/>
  <c r="AP27" i="1"/>
  <c r="AP20" i="1"/>
  <c r="W200" i="1"/>
  <c r="W207" i="1"/>
  <c r="BX20" i="1"/>
  <c r="AP14" i="1"/>
  <c r="AP17" i="1"/>
  <c r="AP10" i="1"/>
  <c r="BB25" i="1"/>
  <c r="AV25" i="1"/>
  <c r="BI25" i="1"/>
  <c r="W193" i="1"/>
  <c r="W199" i="1"/>
  <c r="BX11" i="1"/>
  <c r="W167" i="1"/>
  <c r="BB22" i="1"/>
  <c r="AV22" i="1"/>
  <c r="BI22" i="1"/>
  <c r="BX14" i="1"/>
  <c r="W202" i="1"/>
  <c r="BB21" i="1"/>
  <c r="AV21" i="1"/>
  <c r="BI21" i="1"/>
  <c r="AP19" i="1"/>
  <c r="W188" i="1"/>
  <c r="BB16" i="1"/>
  <c r="AV16" i="1"/>
  <c r="BI16" i="1"/>
  <c r="W59" i="1"/>
  <c r="BX18" i="1"/>
  <c r="BB8" i="1"/>
  <c r="AV8" i="1"/>
  <c r="BI8" i="1"/>
  <c r="AP15" i="1"/>
  <c r="BB10" i="1"/>
  <c r="AV10" i="1"/>
  <c r="BI10" i="1"/>
  <c r="AP16" i="1"/>
  <c r="W191" i="1"/>
  <c r="BB11" i="1"/>
  <c r="AV11" i="1"/>
  <c r="BI11" i="1"/>
  <c r="AP13" i="1"/>
  <c r="BX13" i="1"/>
  <c r="BX17" i="1"/>
  <c r="BB24" i="1"/>
  <c r="AV24" i="1"/>
  <c r="BI24" i="1"/>
  <c r="BX10" i="1"/>
  <c r="AP8" i="1"/>
  <c r="BX23" i="1"/>
  <c r="BB9" i="1"/>
  <c r="AV9" i="1"/>
  <c r="BI9" i="1"/>
  <c r="BX9" i="1"/>
  <c r="BX24" i="1"/>
  <c r="BB20" i="1"/>
  <c r="AV20" i="1"/>
  <c r="BI20" i="1"/>
  <c r="BX15" i="1"/>
  <c r="AP11" i="1"/>
  <c r="W194" i="1"/>
  <c r="J340" i="8"/>
  <c r="L340" i="8"/>
  <c r="N340" i="8"/>
  <c r="W56" i="1"/>
  <c r="BX8" i="1"/>
  <c r="W57" i="1"/>
  <c r="W192" i="1"/>
  <c r="BB18" i="1"/>
  <c r="AV18" i="1"/>
  <c r="BI18" i="1"/>
  <c r="W183" i="1"/>
  <c r="W186" i="1"/>
  <c r="BX16" i="1"/>
  <c r="BX12" i="1"/>
  <c r="BB27" i="1"/>
  <c r="AV27" i="1"/>
  <c r="BI27" i="1"/>
  <c r="W187" i="1"/>
  <c r="AP24" i="1"/>
  <c r="AP7" i="1"/>
  <c r="W196" i="1"/>
  <c r="AP23" i="1"/>
  <c r="AP25" i="1"/>
  <c r="BX19" i="1"/>
  <c r="S39" i="6"/>
  <c r="AT25" i="1"/>
  <c r="AT27" i="1"/>
  <c r="BF22" i="1"/>
  <c r="AZ22" i="1"/>
  <c r="BM22" i="1"/>
  <c r="CB26" i="1"/>
  <c r="BF21" i="1"/>
  <c r="AZ21" i="1"/>
  <c r="BM21" i="1"/>
  <c r="BF9" i="1"/>
  <c r="AZ9" i="1"/>
  <c r="BM9" i="1"/>
  <c r="CB13" i="1"/>
  <c r="AT20" i="1"/>
  <c r="BF24" i="1"/>
  <c r="AZ24" i="1"/>
  <c r="BM24" i="1"/>
  <c r="BF27" i="1"/>
  <c r="AZ27" i="1"/>
  <c r="BM27" i="1"/>
  <c r="AT8" i="1"/>
  <c r="BF16" i="1"/>
  <c r="AZ16" i="1"/>
  <c r="BM16" i="1"/>
  <c r="CB23" i="1"/>
  <c r="AA200" i="1"/>
  <c r="AA57" i="1"/>
  <c r="BF14" i="1"/>
  <c r="AZ14" i="1"/>
  <c r="BM14" i="1"/>
  <c r="AA56" i="1"/>
  <c r="CB11" i="1"/>
  <c r="AA187" i="1"/>
  <c r="AT9" i="1"/>
  <c r="BF8" i="1"/>
  <c r="AZ8" i="1"/>
  <c r="BM8" i="1"/>
  <c r="AA183" i="1"/>
  <c r="CB17" i="1"/>
  <c r="CB24" i="1"/>
  <c r="AA59" i="1"/>
  <c r="AA167" i="1"/>
  <c r="AA202" i="1"/>
  <c r="AT22" i="1"/>
  <c r="AT21" i="1"/>
  <c r="AA55" i="1"/>
  <c r="AA67" i="1"/>
  <c r="CB18" i="1"/>
  <c r="AA207" i="1"/>
  <c r="AA186" i="1"/>
  <c r="AT19" i="1"/>
  <c r="CB20" i="1"/>
  <c r="AT17" i="1"/>
  <c r="AA166" i="1"/>
  <c r="AT23" i="1"/>
  <c r="CB27" i="1"/>
  <c r="BF17" i="1"/>
  <c r="AZ17" i="1"/>
  <c r="BM17" i="1"/>
  <c r="BF23" i="1"/>
  <c r="AZ23" i="1"/>
  <c r="BM23" i="1"/>
  <c r="AA191" i="1"/>
  <c r="CB16" i="1"/>
  <c r="CB25" i="1"/>
  <c r="AT15" i="1"/>
  <c r="AA199" i="1"/>
  <c r="CB21" i="1"/>
  <c r="BF10" i="1"/>
  <c r="AZ10" i="1"/>
  <c r="BM10" i="1"/>
  <c r="AA184" i="1"/>
  <c r="AA196" i="1"/>
  <c r="BF25" i="1"/>
  <c r="AZ25" i="1"/>
  <c r="BM25" i="1"/>
  <c r="AT12" i="1"/>
  <c r="AA206" i="1"/>
  <c r="BF26" i="1"/>
  <c r="AZ26" i="1"/>
  <c r="BM26" i="1"/>
  <c r="AT18" i="1"/>
  <c r="AT26" i="1"/>
  <c r="AT13" i="1"/>
  <c r="AT11" i="1"/>
  <c r="CB22" i="1"/>
  <c r="BF15" i="1"/>
  <c r="AZ15" i="1"/>
  <c r="BM15" i="1"/>
  <c r="CB7" i="1"/>
  <c r="CB8" i="1"/>
  <c r="AT14" i="1"/>
  <c r="CB15" i="1"/>
  <c r="AA188" i="1"/>
  <c r="BF20" i="1"/>
  <c r="AZ20" i="1"/>
  <c r="BM20" i="1"/>
  <c r="BF18" i="1"/>
  <c r="AZ18" i="1"/>
  <c r="BM18" i="1"/>
  <c r="CB12" i="1"/>
  <c r="BF11" i="1"/>
  <c r="AZ11" i="1"/>
  <c r="BM11" i="1"/>
  <c r="AT10" i="1"/>
  <c r="CB9" i="1"/>
  <c r="AA192" i="1"/>
  <c r="BF7" i="1"/>
  <c r="AZ7" i="1"/>
  <c r="BM7" i="1"/>
  <c r="AA201" i="1"/>
  <c r="AT16" i="1"/>
  <c r="AT7" i="1"/>
  <c r="CB14" i="1"/>
  <c r="BF19" i="1"/>
  <c r="AZ19" i="1"/>
  <c r="BM19" i="1"/>
  <c r="BF13" i="1"/>
  <c r="AZ13" i="1"/>
  <c r="BM13" i="1"/>
  <c r="CB19" i="1"/>
  <c r="BF12" i="1"/>
  <c r="AZ12" i="1"/>
  <c r="BM12" i="1"/>
  <c r="AA204" i="1"/>
  <c r="AT24" i="1"/>
  <c r="AA193" i="1"/>
  <c r="CB10" i="1"/>
  <c r="S40" i="6"/>
  <c r="X32" i="6"/>
  <c r="X35" i="6"/>
  <c r="X36" i="6"/>
  <c r="P152" i="7"/>
  <c r="P153" i="7"/>
  <c r="P119" i="7"/>
  <c r="Y165" i="1"/>
  <c r="W58" i="1"/>
  <c r="Y58" i="1"/>
  <c r="AA165" i="1"/>
  <c r="CG27" i="1"/>
  <c r="CG19" i="1"/>
  <c r="CG8" i="1"/>
  <c r="CG9" i="1"/>
  <c r="CG16" i="1"/>
  <c r="CG14" i="1"/>
  <c r="AP33" i="1"/>
  <c r="BY33" i="1"/>
  <c r="W74" i="1"/>
  <c r="CG25" i="1"/>
  <c r="N37" i="7"/>
  <c r="N38" i="7"/>
  <c r="AP34" i="1"/>
  <c r="W116" i="1"/>
  <c r="CG21" i="1"/>
  <c r="CG12" i="1"/>
  <c r="CG26" i="1"/>
  <c r="W113" i="1"/>
  <c r="W80" i="1"/>
  <c r="CG23" i="1"/>
  <c r="J23" i="5"/>
  <c r="W132" i="1"/>
  <c r="N65" i="7"/>
  <c r="CG18" i="1"/>
  <c r="CG15" i="1"/>
  <c r="CG7" i="1"/>
  <c r="CG22" i="1"/>
  <c r="W177" i="1"/>
  <c r="W175" i="1"/>
  <c r="CG11" i="1"/>
  <c r="CG17" i="1"/>
  <c r="CG24" i="1"/>
  <c r="CG20" i="1"/>
  <c r="CG13" i="1"/>
  <c r="CG10" i="1"/>
  <c r="CI13" i="1"/>
  <c r="CI12" i="1"/>
  <c r="CI24" i="1"/>
  <c r="P37" i="7"/>
  <c r="P38" i="7"/>
  <c r="CI25" i="1"/>
  <c r="CI20" i="1"/>
  <c r="CI27" i="1"/>
  <c r="CI17" i="1"/>
  <c r="CI15" i="1"/>
  <c r="BY42" i="1"/>
  <c r="BY43" i="1"/>
  <c r="CI14" i="1"/>
  <c r="CI11" i="1"/>
  <c r="CI8" i="1"/>
  <c r="CI9" i="1"/>
  <c r="CI10" i="1"/>
  <c r="Y80" i="1"/>
  <c r="CI18" i="1"/>
  <c r="CI16" i="1"/>
  <c r="Y132" i="1"/>
  <c r="P65" i="7"/>
  <c r="Y116" i="1"/>
  <c r="CI22" i="1"/>
  <c r="CI7" i="1"/>
  <c r="Y74" i="1"/>
  <c r="CI26" i="1"/>
  <c r="CI23" i="1"/>
  <c r="L23" i="5"/>
  <c r="Y113" i="1"/>
  <c r="CI19" i="1"/>
  <c r="Y177" i="1"/>
  <c r="Y175" i="1"/>
  <c r="CI21" i="1"/>
  <c r="AP42" i="1"/>
  <c r="AP43" i="1"/>
  <c r="AA58" i="1"/>
  <c r="N152" i="7"/>
  <c r="N153" i="7"/>
  <c r="N119" i="7"/>
  <c r="R119" i="7"/>
  <c r="R152" i="7"/>
  <c r="R153" i="7"/>
  <c r="CK27" i="1"/>
  <c r="AA177" i="1"/>
  <c r="AA175" i="1"/>
  <c r="N23" i="5"/>
  <c r="AA74" i="1"/>
  <c r="BY51" i="1"/>
  <c r="BY52" i="1"/>
  <c r="CK19" i="1"/>
  <c r="CK14" i="1"/>
  <c r="CK24" i="1"/>
  <c r="CK25" i="1"/>
  <c r="CK12" i="1"/>
  <c r="CK23" i="1"/>
  <c r="CK9" i="1"/>
  <c r="CK7" i="1"/>
  <c r="CK18" i="1"/>
  <c r="AP51" i="1"/>
  <c r="AP52" i="1"/>
  <c r="CK20" i="1"/>
  <c r="AA113" i="1"/>
  <c r="CK13" i="1"/>
  <c r="CK15" i="1"/>
  <c r="R37" i="7"/>
  <c r="R38" i="7"/>
  <c r="CK17" i="1"/>
  <c r="CK11" i="1"/>
  <c r="CK26" i="1"/>
  <c r="CK16" i="1"/>
  <c r="AA80" i="1"/>
  <c r="CK21" i="1"/>
  <c r="AA132" i="1"/>
  <c r="R65" i="7"/>
  <c r="CK10" i="1"/>
  <c r="CK8" i="1"/>
  <c r="CK22" i="1"/>
  <c r="AA116" i="1"/>
  <c r="W32" i="6"/>
  <c r="W36" i="6"/>
  <c r="W31" i="6"/>
  <c r="W165" i="1"/>
  <c r="AA119" i="1"/>
  <c r="AA100" i="1"/>
  <c r="R51" i="7"/>
  <c r="R52" i="7"/>
  <c r="N451" i="8"/>
  <c r="N443" i="8"/>
  <c r="AA118" i="1"/>
  <c r="AA172" i="1"/>
  <c r="AA181" i="1"/>
  <c r="AA94" i="1"/>
  <c r="AA171" i="1"/>
  <c r="AA134" i="1"/>
  <c r="R39" i="7"/>
  <c r="AP56" i="1"/>
  <c r="AR51" i="1"/>
  <c r="AR52" i="1"/>
  <c r="BY47" i="1"/>
  <c r="CA42" i="1"/>
  <c r="CA43" i="1"/>
  <c r="AP38" i="1"/>
  <c r="AR33" i="1"/>
  <c r="AR34" i="1"/>
  <c r="BY34" i="1"/>
  <c r="BY56" i="1"/>
  <c r="CA51" i="1"/>
  <c r="CA52" i="1"/>
  <c r="W135" i="1"/>
  <c r="N68" i="7"/>
  <c r="W94" i="1"/>
  <c r="W84" i="1"/>
  <c r="J75" i="8"/>
  <c r="L75" i="8"/>
  <c r="N75" i="8"/>
  <c r="N39" i="7"/>
  <c r="J152" i="8"/>
  <c r="W100" i="1"/>
  <c r="N51" i="7"/>
  <c r="N52" i="7"/>
  <c r="W172" i="1"/>
  <c r="W119" i="1"/>
  <c r="W134" i="1"/>
  <c r="W171" i="1"/>
  <c r="W118" i="1"/>
  <c r="J451" i="8"/>
  <c r="J443" i="8"/>
  <c r="N3" i="8"/>
  <c r="N4" i="8"/>
  <c r="N440" i="8"/>
  <c r="N456" i="8"/>
  <c r="N35" i="5"/>
  <c r="N486" i="8"/>
  <c r="BZ52" i="1"/>
  <c r="N60" i="5"/>
  <c r="R41" i="7"/>
  <c r="R42" i="7"/>
  <c r="N59" i="5"/>
  <c r="N13" i="8"/>
  <c r="N14" i="8"/>
  <c r="N485" i="8"/>
  <c r="N3" i="5"/>
  <c r="Y84" i="1"/>
  <c r="Y89" i="1"/>
  <c r="Y135" i="1"/>
  <c r="P68" i="7"/>
  <c r="Y94" i="1"/>
  <c r="Y134" i="1"/>
  <c r="Y171" i="1"/>
  <c r="Y100" i="1"/>
  <c r="P51" i="7"/>
  <c r="P52" i="7"/>
  <c r="P39" i="7"/>
  <c r="Y118" i="1"/>
  <c r="Y119" i="1"/>
  <c r="L451" i="8"/>
  <c r="L443" i="8"/>
  <c r="Y172" i="1"/>
  <c r="Y181" i="1"/>
  <c r="AA84" i="1"/>
  <c r="N17" i="5"/>
  <c r="BZ34" i="1"/>
  <c r="J13" i="8"/>
  <c r="J14" i="8"/>
  <c r="J3" i="5"/>
  <c r="N41" i="7"/>
  <c r="N42" i="7"/>
  <c r="J486" i="8"/>
  <c r="J59" i="5"/>
  <c r="J3" i="8"/>
  <c r="J35" i="5"/>
  <c r="J485" i="8"/>
  <c r="J60" i="5"/>
  <c r="AP47" i="1"/>
  <c r="AR42" i="1"/>
  <c r="AR43" i="1"/>
  <c r="L485" i="8"/>
  <c r="BZ43" i="1"/>
  <c r="L13" i="8"/>
  <c r="L14" i="8"/>
  <c r="L3" i="8"/>
  <c r="L60" i="5"/>
  <c r="L486" i="8"/>
  <c r="L59" i="5"/>
  <c r="L35" i="5"/>
  <c r="P41" i="7"/>
  <c r="P42" i="7"/>
  <c r="L3" i="5"/>
  <c r="L4" i="5"/>
  <c r="AA135" i="1"/>
  <c r="R68" i="7"/>
  <c r="N484" i="8"/>
  <c r="N489" i="8"/>
  <c r="AA117" i="1"/>
  <c r="AA124" i="1"/>
  <c r="AA126" i="1"/>
  <c r="W170" i="1"/>
  <c r="W179" i="1"/>
  <c r="L484" i="8"/>
  <c r="L489" i="8"/>
  <c r="Y115" i="1"/>
  <c r="AQ43" i="1"/>
  <c r="Y114" i="1"/>
  <c r="Y131" i="1"/>
  <c r="P64" i="7"/>
  <c r="Y130" i="1"/>
  <c r="W89" i="1"/>
  <c r="J17" i="5"/>
  <c r="W106" i="1"/>
  <c r="W109" i="1"/>
  <c r="N48" i="7"/>
  <c r="N49" i="7"/>
  <c r="R57" i="7"/>
  <c r="R59" i="7"/>
  <c r="CG52" i="1"/>
  <c r="L58" i="5"/>
  <c r="J34" i="5"/>
  <c r="J10" i="5"/>
  <c r="J21" i="5"/>
  <c r="J9" i="5"/>
  <c r="J4" i="5"/>
  <c r="J20" i="5"/>
  <c r="Y117" i="1"/>
  <c r="Y124" i="1"/>
  <c r="N459" i="8"/>
  <c r="BZ55" i="1"/>
  <c r="CB52" i="1"/>
  <c r="CB51" i="1"/>
  <c r="BZ56" i="1"/>
  <c r="N34" i="5"/>
  <c r="N20" i="5"/>
  <c r="N21" i="5"/>
  <c r="N9" i="5"/>
  <c r="N10" i="5"/>
  <c r="J484" i="8"/>
  <c r="J489" i="8"/>
  <c r="BZ38" i="1"/>
  <c r="CB33" i="1"/>
  <c r="CB34" i="1"/>
  <c r="BZ37" i="1"/>
  <c r="R43" i="7"/>
  <c r="R40" i="7"/>
  <c r="L4" i="8"/>
  <c r="L440" i="8"/>
  <c r="L441" i="8"/>
  <c r="L17" i="5"/>
  <c r="AA89" i="1"/>
  <c r="L152" i="8"/>
  <c r="J279" i="8"/>
  <c r="BY38" i="1"/>
  <c r="CA33" i="1"/>
  <c r="CA34" i="1"/>
  <c r="R67" i="7"/>
  <c r="AA133" i="1"/>
  <c r="R66" i="7"/>
  <c r="P40" i="7"/>
  <c r="P43" i="7"/>
  <c r="J4" i="8"/>
  <c r="J440" i="8"/>
  <c r="J441" i="8"/>
  <c r="Y170" i="1"/>
  <c r="Y179" i="1"/>
  <c r="Y180" i="1"/>
  <c r="N58" i="5"/>
  <c r="N40" i="7"/>
  <c r="N43" i="7"/>
  <c r="AA170" i="1"/>
  <c r="AA179" i="1"/>
  <c r="AA180" i="1"/>
  <c r="N441" i="8"/>
  <c r="Y106" i="1"/>
  <c r="P48" i="7"/>
  <c r="P49" i="7"/>
  <c r="W133" i="1"/>
  <c r="N66" i="7"/>
  <c r="N67" i="7"/>
  <c r="L10" i="5"/>
  <c r="L28" i="5"/>
  <c r="L9" i="5"/>
  <c r="L20" i="5"/>
  <c r="L21" i="5"/>
  <c r="L34" i="5"/>
  <c r="CB43" i="1"/>
  <c r="BZ47" i="1"/>
  <c r="BZ46" i="1"/>
  <c r="CB42" i="1"/>
  <c r="J58" i="5"/>
  <c r="P67" i="7"/>
  <c r="Y133" i="1"/>
  <c r="P66" i="7"/>
  <c r="W117" i="1"/>
  <c r="W124" i="1"/>
  <c r="AA106" i="1"/>
  <c r="R48" i="7"/>
  <c r="R49" i="7"/>
  <c r="N4" i="5"/>
  <c r="L459" i="8"/>
  <c r="L457" i="8"/>
  <c r="Y109" i="1"/>
  <c r="L15" i="8"/>
  <c r="L187" i="5"/>
  <c r="L64" i="5"/>
  <c r="P63" i="7"/>
  <c r="Y129" i="1"/>
  <c r="P62" i="7"/>
  <c r="J457" i="8"/>
  <c r="CG55" i="1"/>
  <c r="CG56" i="1"/>
  <c r="CG53" i="1"/>
  <c r="CI53" i="1"/>
  <c r="W126" i="1"/>
  <c r="N57" i="7"/>
  <c r="N59" i="7"/>
  <c r="CG33" i="1"/>
  <c r="Y139" i="1"/>
  <c r="Y120" i="1"/>
  <c r="AA131" i="1"/>
  <c r="R64" i="7"/>
  <c r="AQ52" i="1"/>
  <c r="AA114" i="1"/>
  <c r="AA115" i="1"/>
  <c r="AA130" i="1"/>
  <c r="J11" i="5"/>
  <c r="J29" i="5"/>
  <c r="J27" i="5"/>
  <c r="AQ47" i="1"/>
  <c r="AS42" i="1"/>
  <c r="AS43" i="1"/>
  <c r="AQ46" i="1"/>
  <c r="N11" i="5"/>
  <c r="N27" i="5"/>
  <c r="N457" i="8"/>
  <c r="N442" i="8"/>
  <c r="J456" i="8"/>
  <c r="J442" i="8"/>
  <c r="CH34" i="1"/>
  <c r="N54" i="7"/>
  <c r="N55" i="7"/>
  <c r="Y126" i="1"/>
  <c r="CG42" i="1"/>
  <c r="P57" i="7"/>
  <c r="P59" i="7"/>
  <c r="L11" i="5"/>
  <c r="L27" i="5"/>
  <c r="L279" i="8"/>
  <c r="N152" i="8"/>
  <c r="N279" i="8"/>
  <c r="J459" i="8"/>
  <c r="J28" i="5"/>
  <c r="J64" i="5"/>
  <c r="J187" i="5"/>
  <c r="AA109" i="1"/>
  <c r="N15" i="8"/>
  <c r="N187" i="5"/>
  <c r="N64" i="5"/>
  <c r="L456" i="8"/>
  <c r="L442" i="8"/>
  <c r="N28" i="5"/>
  <c r="AQ34" i="1"/>
  <c r="W115" i="1"/>
  <c r="W130" i="1"/>
  <c r="W131" i="1"/>
  <c r="N64" i="7"/>
  <c r="W114" i="1"/>
  <c r="J15" i="8"/>
  <c r="J81" i="8"/>
  <c r="J158" i="8"/>
  <c r="J334" i="8"/>
  <c r="J346" i="8"/>
  <c r="J15" i="5"/>
  <c r="J12" i="5"/>
  <c r="N444" i="8"/>
  <c r="N458" i="8"/>
  <c r="L458" i="8"/>
  <c r="L444" i="8"/>
  <c r="J33" i="5"/>
  <c r="J145" i="5"/>
  <c r="J167" i="5"/>
  <c r="J219" i="5"/>
  <c r="L15" i="5"/>
  <c r="L29" i="5"/>
  <c r="J65" i="5"/>
  <c r="J21" i="8"/>
  <c r="J22" i="8"/>
  <c r="J23" i="8"/>
  <c r="J31" i="8"/>
  <c r="J17" i="8"/>
  <c r="J18" i="8"/>
  <c r="J19" i="8"/>
  <c r="J30" i="8"/>
  <c r="J70" i="8"/>
  <c r="J261" i="8"/>
  <c r="J75" i="5"/>
  <c r="CG43" i="1"/>
  <c r="CI43" i="1"/>
  <c r="CG45" i="1"/>
  <c r="CG46" i="1"/>
  <c r="W120" i="1"/>
  <c r="W139" i="1"/>
  <c r="N145" i="5"/>
  <c r="N167" i="5"/>
  <c r="N219" i="5"/>
  <c r="N15" i="5"/>
  <c r="N29" i="5"/>
  <c r="L145" i="5"/>
  <c r="L167" i="5"/>
  <c r="L219" i="5"/>
  <c r="R63" i="7"/>
  <c r="AA129" i="1"/>
  <c r="R62" i="7"/>
  <c r="J273" i="8"/>
  <c r="AA139" i="1"/>
  <c r="AA120" i="1"/>
  <c r="AQ38" i="1"/>
  <c r="AS34" i="1"/>
  <c r="AQ37" i="1"/>
  <c r="AS33" i="1"/>
  <c r="N63" i="7"/>
  <c r="W129" i="1"/>
  <c r="N62" i="7"/>
  <c r="N75" i="5"/>
  <c r="N70" i="8"/>
  <c r="N273" i="8"/>
  <c r="N334" i="8"/>
  <c r="N346" i="8"/>
  <c r="N81" i="8"/>
  <c r="N158" i="8"/>
  <c r="N21" i="8"/>
  <c r="N22" i="8"/>
  <c r="N23" i="8"/>
  <c r="N31" i="8"/>
  <c r="N17" i="8"/>
  <c r="N18" i="8"/>
  <c r="N19" i="8"/>
  <c r="N30" i="8"/>
  <c r="N65" i="5"/>
  <c r="CJ33" i="1"/>
  <c r="CJ34" i="1"/>
  <c r="CH37" i="1"/>
  <c r="CH36" i="1"/>
  <c r="AQ55" i="1"/>
  <c r="AQ56" i="1"/>
  <c r="AS52" i="1"/>
  <c r="AS51" i="1"/>
  <c r="L273" i="8"/>
  <c r="L70" i="8"/>
  <c r="L75" i="5"/>
  <c r="L17" i="8"/>
  <c r="L18" i="8"/>
  <c r="L19" i="8"/>
  <c r="L30" i="8"/>
  <c r="L21" i="8"/>
  <c r="L22" i="8"/>
  <c r="L23" i="8"/>
  <c r="L31" i="8"/>
  <c r="L261" i="8"/>
  <c r="L334" i="8"/>
  <c r="L346" i="8"/>
  <c r="L81" i="8"/>
  <c r="L158" i="8"/>
  <c r="N261" i="8"/>
  <c r="L65" i="5"/>
  <c r="CG34" i="1"/>
  <c r="CI34" i="1"/>
  <c r="CG36" i="1"/>
  <c r="CG37" i="1"/>
  <c r="CH53" i="1"/>
  <c r="R54" i="7"/>
  <c r="R55" i="7"/>
  <c r="J444" i="8"/>
  <c r="J458" i="8"/>
  <c r="CH43" i="1"/>
  <c r="P54" i="7"/>
  <c r="P55" i="7"/>
  <c r="N285" i="8"/>
  <c r="N278" i="8"/>
  <c r="N274" i="8"/>
  <c r="N281" i="8"/>
  <c r="N33" i="5"/>
  <c r="N12" i="5"/>
  <c r="L146" i="5"/>
  <c r="L77" i="5"/>
  <c r="T54" i="5"/>
  <c r="L73" i="5"/>
  <c r="L74" i="5"/>
  <c r="L146" i="8"/>
  <c r="L74" i="8"/>
  <c r="L151" i="8"/>
  <c r="J146" i="8"/>
  <c r="J74" i="8"/>
  <c r="J151" i="8"/>
  <c r="J30" i="5"/>
  <c r="J13" i="5"/>
  <c r="L95" i="8"/>
  <c r="L173" i="8"/>
  <c r="L29" i="8"/>
  <c r="L37" i="8"/>
  <c r="N74" i="8"/>
  <c r="N151" i="8"/>
  <c r="N146" i="8"/>
  <c r="L278" i="8"/>
  <c r="L274" i="8"/>
  <c r="L285" i="8"/>
  <c r="N29" i="8"/>
  <c r="N37" i="8"/>
  <c r="N95" i="8"/>
  <c r="N173" i="8"/>
  <c r="L446" i="8"/>
  <c r="L462" i="8"/>
  <c r="S448" i="8"/>
  <c r="L465" i="8"/>
  <c r="L460" i="8"/>
  <c r="R31" i="5"/>
  <c r="N157" i="7"/>
  <c r="J446" i="8"/>
  <c r="J462" i="8"/>
  <c r="R448" i="8"/>
  <c r="J465" i="8"/>
  <c r="J460" i="8"/>
  <c r="L177" i="5"/>
  <c r="L178" i="5"/>
  <c r="S54" i="5"/>
  <c r="J146" i="5"/>
  <c r="J158" i="5"/>
  <c r="J77" i="5"/>
  <c r="N177" i="5"/>
  <c r="N178" i="5"/>
  <c r="J95" i="8"/>
  <c r="J173" i="8"/>
  <c r="J29" i="8"/>
  <c r="J37" i="8"/>
  <c r="CH45" i="1"/>
  <c r="CJ42" i="1"/>
  <c r="CJ43" i="1"/>
  <c r="CH46" i="1"/>
  <c r="N146" i="5"/>
  <c r="N77" i="5"/>
  <c r="U54" i="5"/>
  <c r="N73" i="5"/>
  <c r="N74" i="5"/>
  <c r="J285" i="8"/>
  <c r="J274" i="8"/>
  <c r="J278" i="8"/>
  <c r="CH55" i="1"/>
  <c r="CJ52" i="1"/>
  <c r="CJ53" i="1"/>
  <c r="CH56" i="1"/>
  <c r="L33" i="5"/>
  <c r="L12" i="5"/>
  <c r="N465" i="8"/>
  <c r="N460" i="8"/>
  <c r="N446" i="8"/>
  <c r="N462" i="8"/>
  <c r="T448" i="8"/>
  <c r="J281" i="8"/>
  <c r="L281" i="8"/>
  <c r="N476" i="8"/>
  <c r="N466" i="8"/>
  <c r="J432" i="8"/>
  <c r="J434" i="8"/>
  <c r="J68" i="8"/>
  <c r="J324" i="8"/>
  <c r="J337" i="8"/>
  <c r="J264" i="8"/>
  <c r="J64" i="8"/>
  <c r="J476" i="8"/>
  <c r="J466" i="8"/>
  <c r="N68" i="8"/>
  <c r="N264" i="8"/>
  <c r="N324" i="8"/>
  <c r="N337" i="8"/>
  <c r="N432" i="8"/>
  <c r="N64" i="8"/>
  <c r="J39" i="5"/>
  <c r="J31" i="5"/>
  <c r="L30" i="5"/>
  <c r="L13" i="5"/>
  <c r="L158" i="5"/>
  <c r="L154" i="5"/>
  <c r="L155" i="5"/>
  <c r="S31" i="5"/>
  <c r="P157" i="7"/>
  <c r="N154" i="5"/>
  <c r="N155" i="5"/>
  <c r="N158" i="5"/>
  <c r="L476" i="8"/>
  <c r="L466" i="8"/>
  <c r="N30" i="5"/>
  <c r="N13" i="5"/>
  <c r="R157" i="7"/>
  <c r="T31" i="5"/>
  <c r="L324" i="8"/>
  <c r="L337" i="8"/>
  <c r="L64" i="8"/>
  <c r="L432" i="8"/>
  <c r="L68" i="8"/>
  <c r="L264" i="8"/>
  <c r="N72" i="8"/>
  <c r="N149" i="8"/>
  <c r="N134" i="8"/>
  <c r="J270" i="8"/>
  <c r="J272" i="8"/>
  <c r="J276" i="8"/>
  <c r="J282" i="8"/>
  <c r="J72" i="8"/>
  <c r="J149" i="8"/>
  <c r="J134" i="8"/>
  <c r="L276" i="8"/>
  <c r="L282" i="8"/>
  <c r="L270" i="8"/>
  <c r="L272" i="8"/>
  <c r="N270" i="8"/>
  <c r="N272" i="8"/>
  <c r="N276" i="8"/>
  <c r="N282" i="8"/>
  <c r="N434" i="8"/>
  <c r="L71" i="8"/>
  <c r="L33" i="8"/>
  <c r="L89" i="8"/>
  <c r="L90" i="8"/>
  <c r="L141" i="8"/>
  <c r="L167" i="8"/>
  <c r="L168" i="8"/>
  <c r="L468" i="8"/>
  <c r="L479" i="8"/>
  <c r="L467" i="8"/>
  <c r="L477" i="8"/>
  <c r="L39" i="5"/>
  <c r="L31" i="5"/>
  <c r="N89" i="8"/>
  <c r="N90" i="8"/>
  <c r="N33" i="8"/>
  <c r="N71" i="8"/>
  <c r="N141" i="8"/>
  <c r="N167" i="8"/>
  <c r="N168" i="8"/>
  <c r="N39" i="5"/>
  <c r="N31" i="5"/>
  <c r="J468" i="8"/>
  <c r="J479" i="8"/>
  <c r="J467" i="8"/>
  <c r="J477" i="8"/>
  <c r="N467" i="8"/>
  <c r="N477" i="8"/>
  <c r="N468" i="8"/>
  <c r="N479" i="8"/>
  <c r="J41" i="5"/>
  <c r="J50" i="5"/>
  <c r="J40" i="5"/>
  <c r="J33" i="8"/>
  <c r="J89" i="8"/>
  <c r="J71" i="8"/>
  <c r="L434" i="8"/>
  <c r="J141" i="8"/>
  <c r="J344" i="8"/>
  <c r="L134" i="8"/>
  <c r="L72" i="8"/>
  <c r="L149" i="8"/>
  <c r="N147" i="8"/>
  <c r="N154" i="8"/>
  <c r="N155" i="8"/>
  <c r="R158" i="7"/>
  <c r="N77" i="8"/>
  <c r="N78" i="8"/>
  <c r="N158" i="7"/>
  <c r="J147" i="8"/>
  <c r="J154" i="8"/>
  <c r="J77" i="8"/>
  <c r="N492" i="8"/>
  <c r="N493" i="8"/>
  <c r="N491" i="8"/>
  <c r="N490" i="8"/>
  <c r="U471" i="8"/>
  <c r="N478" i="8"/>
  <c r="N65" i="8"/>
  <c r="N179" i="5"/>
  <c r="N265" i="8"/>
  <c r="N277" i="8"/>
  <c r="N32" i="8"/>
  <c r="N28" i="8"/>
  <c r="J167" i="8"/>
  <c r="J90" i="8"/>
  <c r="J168" i="8"/>
  <c r="J265" i="8"/>
  <c r="J277" i="8"/>
  <c r="J179" i="5"/>
  <c r="J32" i="8"/>
  <c r="J28" i="8"/>
  <c r="J65" i="8"/>
  <c r="L50" i="5"/>
  <c r="L40" i="5"/>
  <c r="L41" i="5"/>
  <c r="L32" i="8"/>
  <c r="L28" i="8"/>
  <c r="L179" i="5"/>
  <c r="L65" i="8"/>
  <c r="L265" i="8"/>
  <c r="L277" i="8"/>
  <c r="J478" i="8"/>
  <c r="J492" i="8"/>
  <c r="J493" i="8"/>
  <c r="J491" i="8"/>
  <c r="J490" i="8"/>
  <c r="S471" i="8"/>
  <c r="P158" i="7"/>
  <c r="L77" i="8"/>
  <c r="L147" i="8"/>
  <c r="L154" i="8"/>
  <c r="J52" i="5"/>
  <c r="J222" i="5"/>
  <c r="J171" i="5"/>
  <c r="J170" i="5"/>
  <c r="J168" i="5"/>
  <c r="J190" i="5"/>
  <c r="J67" i="5"/>
  <c r="J148" i="5"/>
  <c r="J68" i="5"/>
  <c r="J71" i="5"/>
  <c r="S55" i="5"/>
  <c r="N40" i="5"/>
  <c r="N51" i="5"/>
  <c r="N42" i="5"/>
  <c r="N50" i="5"/>
  <c r="N41" i="5"/>
  <c r="N222" i="5"/>
  <c r="L492" i="8"/>
  <c r="L493" i="8"/>
  <c r="L491" i="8"/>
  <c r="L490" i="8"/>
  <c r="T471" i="8"/>
  <c r="L478" i="8"/>
  <c r="N498" i="8"/>
  <c r="N499" i="8"/>
  <c r="N52" i="5"/>
  <c r="J59" i="8"/>
  <c r="J60" i="8"/>
  <c r="J149" i="5"/>
  <c r="J66" i="5"/>
  <c r="J147" i="5"/>
  <c r="N190" i="5"/>
  <c r="N171" i="5"/>
  <c r="N170" i="5"/>
  <c r="N168" i="5"/>
  <c r="N67" i="5"/>
  <c r="N148" i="5"/>
  <c r="N68" i="5"/>
  <c r="N71" i="5"/>
  <c r="U55" i="5"/>
  <c r="L80" i="8"/>
  <c r="L345" i="8"/>
  <c r="L347" i="8"/>
  <c r="L320" i="8"/>
  <c r="L40" i="8"/>
  <c r="L431" i="8"/>
  <c r="L284" i="8"/>
  <c r="L286" i="8"/>
  <c r="L245" i="8"/>
  <c r="L414" i="8"/>
  <c r="L220" i="5"/>
  <c r="J78" i="8"/>
  <c r="J155" i="8"/>
  <c r="N40" i="8"/>
  <c r="N345" i="8"/>
  <c r="N347" i="8"/>
  <c r="N80" i="8"/>
  <c r="N431" i="8"/>
  <c r="N414" i="8"/>
  <c r="N220" i="5"/>
  <c r="N223" i="5"/>
  <c r="N221" i="5"/>
  <c r="N245" i="8"/>
  <c r="N284" i="8"/>
  <c r="N286" i="8"/>
  <c r="N320" i="8"/>
  <c r="L498" i="8"/>
  <c r="L499" i="8"/>
  <c r="L155" i="8"/>
  <c r="L78" i="8"/>
  <c r="J135" i="8"/>
  <c r="J73" i="8"/>
  <c r="J150" i="8"/>
  <c r="L135" i="8"/>
  <c r="L73" i="8"/>
  <c r="L150" i="8"/>
  <c r="N53" i="5"/>
  <c r="N125" i="8"/>
  <c r="N124" i="8"/>
  <c r="N46" i="8"/>
  <c r="N315" i="8"/>
  <c r="N314" i="8"/>
  <c r="N121" i="8"/>
  <c r="N311" i="8"/>
  <c r="N255" i="8"/>
  <c r="N254" i="8"/>
  <c r="N251" i="8"/>
  <c r="N50" i="8"/>
  <c r="N49" i="8"/>
  <c r="J40" i="8"/>
  <c r="J431" i="8"/>
  <c r="J245" i="8"/>
  <c r="J80" i="8"/>
  <c r="J284" i="8"/>
  <c r="J286" i="8"/>
  <c r="J320" i="8"/>
  <c r="J345" i="8"/>
  <c r="J347" i="8"/>
  <c r="J414" i="8"/>
  <c r="J220" i="5"/>
  <c r="J223" i="5"/>
  <c r="J221" i="5"/>
  <c r="N135" i="8"/>
  <c r="N73" i="8"/>
  <c r="N150" i="8"/>
  <c r="N313" i="8"/>
  <c r="N358" i="8"/>
  <c r="N149" i="5"/>
  <c r="N66" i="5"/>
  <c r="N147" i="5"/>
  <c r="P148" i="5"/>
  <c r="N59" i="8"/>
  <c r="N60" i="8"/>
  <c r="L42" i="8"/>
  <c r="L117" i="8"/>
  <c r="L83" i="8"/>
  <c r="L115" i="8"/>
  <c r="L130" i="8"/>
  <c r="L162" i="8"/>
  <c r="L161" i="8"/>
  <c r="L300" i="8"/>
  <c r="N83" i="8"/>
  <c r="N42" i="8"/>
  <c r="N115" i="8"/>
  <c r="N130" i="8"/>
  <c r="N162" i="8"/>
  <c r="N161" i="8"/>
  <c r="N300" i="8"/>
  <c r="J353" i="8"/>
  <c r="J361" i="8"/>
  <c r="J350" i="8"/>
  <c r="J188" i="5"/>
  <c r="L288" i="8"/>
  <c r="L247" i="8"/>
  <c r="J288" i="8"/>
  <c r="J247" i="8"/>
  <c r="J42" i="8"/>
  <c r="J117" i="8"/>
  <c r="J115" i="8"/>
  <c r="J130" i="8"/>
  <c r="J162" i="8"/>
  <c r="J161" i="8"/>
  <c r="J300" i="8"/>
  <c r="J83" i="8"/>
  <c r="J180" i="8"/>
  <c r="L188" i="5"/>
  <c r="L350" i="8"/>
  <c r="L353" i="8"/>
  <c r="L361" i="8"/>
  <c r="N188" i="5"/>
  <c r="N353" i="8"/>
  <c r="N361" i="8"/>
  <c r="N350" i="8"/>
  <c r="L82" i="8"/>
  <c r="L159" i="8"/>
  <c r="L157" i="8"/>
  <c r="N288" i="8"/>
  <c r="N247" i="8"/>
  <c r="N253" i="8"/>
  <c r="N297" i="8"/>
  <c r="N298" i="8"/>
  <c r="J157" i="8"/>
  <c r="J82" i="8"/>
  <c r="J159" i="8"/>
  <c r="N82" i="8"/>
  <c r="N159" i="8"/>
  <c r="N157" i="8"/>
  <c r="N310" i="8"/>
  <c r="N359" i="8"/>
  <c r="L349" i="8"/>
  <c r="L326" i="8"/>
  <c r="L339" i="8"/>
  <c r="L330" i="8"/>
  <c r="L331" i="8"/>
  <c r="L200" i="5"/>
  <c r="L196" i="5"/>
  <c r="L197" i="5"/>
  <c r="N117" i="8"/>
  <c r="N123" i="8"/>
  <c r="N170" i="8"/>
  <c r="N171" i="8"/>
  <c r="N48" i="8"/>
  <c r="N326" i="8"/>
  <c r="N339" i="8"/>
  <c r="N349" i="8"/>
  <c r="N330" i="8"/>
  <c r="N331" i="8"/>
  <c r="J200" i="5"/>
  <c r="J191" i="5"/>
  <c r="J189" i="5"/>
  <c r="N196" i="5"/>
  <c r="N200" i="5"/>
  <c r="N191" i="5"/>
  <c r="N189" i="5"/>
  <c r="J331" i="8"/>
  <c r="J326" i="8"/>
  <c r="J339" i="8"/>
  <c r="J330" i="8"/>
  <c r="J349" i="8"/>
  <c r="N250" i="8"/>
  <c r="J51" i="5"/>
  <c r="J42" i="5"/>
  <c r="J121" i="8"/>
  <c r="L332" i="8"/>
  <c r="N45" i="8"/>
  <c r="N120" i="8"/>
  <c r="N92" i="8"/>
  <c r="N93" i="8"/>
  <c r="L325" i="8"/>
  <c r="L335" i="8"/>
  <c r="L342" i="8"/>
  <c r="L343" i="8"/>
  <c r="L338" i="8"/>
  <c r="L355" i="8"/>
  <c r="L356" i="8"/>
  <c r="J335" i="8"/>
  <c r="J342" i="8"/>
  <c r="J343" i="8"/>
  <c r="J338" i="8"/>
  <c r="J325" i="8"/>
  <c r="J355" i="8"/>
  <c r="J356" i="8"/>
  <c r="N335" i="8"/>
  <c r="N342" i="8"/>
  <c r="N343" i="8"/>
  <c r="N355" i="8"/>
  <c r="N356" i="8"/>
  <c r="N325" i="8"/>
  <c r="N338" i="8"/>
  <c r="N332" i="8"/>
  <c r="J50" i="8"/>
  <c r="J49" i="8"/>
  <c r="J125" i="8"/>
  <c r="J124" i="8"/>
  <c r="J123" i="8"/>
  <c r="J170" i="8"/>
  <c r="J171" i="8"/>
  <c r="J255" i="8"/>
  <c r="J254" i="8"/>
  <c r="J315" i="8"/>
  <c r="J314" i="8"/>
  <c r="J46" i="8"/>
  <c r="J53" i="5"/>
  <c r="J311" i="8"/>
  <c r="J251" i="8"/>
  <c r="J48" i="8"/>
  <c r="J92" i="8"/>
  <c r="J93" i="8"/>
  <c r="J253" i="8"/>
  <c r="J297" i="8"/>
  <c r="J298" i="8"/>
  <c r="J313" i="8"/>
  <c r="J358" i="8"/>
  <c r="J359" i="8"/>
  <c r="J250" i="8"/>
  <c r="J45" i="8"/>
  <c r="J120" i="8"/>
  <c r="J310" i="8"/>
  <c r="L51" i="5"/>
  <c r="L222" i="5"/>
  <c r="L42" i="5"/>
  <c r="L255" i="8"/>
  <c r="L254" i="8"/>
  <c r="L121" i="8"/>
  <c r="L251" i="8"/>
  <c r="L253" i="8"/>
  <c r="L297" i="8"/>
  <c r="L298" i="8"/>
  <c r="L46" i="8"/>
  <c r="L315" i="8"/>
  <c r="L314" i="8"/>
  <c r="L125" i="8"/>
  <c r="L124" i="8"/>
  <c r="L53" i="5"/>
  <c r="L223" i="5"/>
  <c r="L221" i="5"/>
  <c r="L171" i="5"/>
  <c r="L170" i="5"/>
  <c r="L168" i="5"/>
  <c r="L190" i="5"/>
  <c r="N197" i="5"/>
  <c r="L311" i="8"/>
  <c r="L50" i="8"/>
  <c r="L49" i="8"/>
  <c r="L52" i="5"/>
  <c r="L67" i="5"/>
  <c r="L148" i="5"/>
  <c r="L123" i="8"/>
  <c r="L170" i="8"/>
  <c r="L171" i="8"/>
  <c r="L48" i="8"/>
  <c r="L45" i="8"/>
  <c r="L120" i="8"/>
  <c r="L250" i="8"/>
  <c r="L313" i="8"/>
  <c r="L358" i="8"/>
  <c r="L359" i="8"/>
  <c r="L68" i="5"/>
  <c r="L71" i="5"/>
  <c r="T55" i="5"/>
  <c r="L191" i="5"/>
  <c r="L189" i="5"/>
  <c r="L92" i="8"/>
  <c r="L93" i="8"/>
  <c r="L310" i="8"/>
  <c r="L149" i="5"/>
  <c r="L66" i="5"/>
  <c r="L147" i="5"/>
  <c r="L59" i="8"/>
  <c r="L60" i="8"/>
</calcChain>
</file>

<file path=xl/sharedStrings.xml><?xml version="1.0" encoding="utf-8"?>
<sst xmlns="http://schemas.openxmlformats.org/spreadsheetml/2006/main" count="890" uniqueCount="407">
  <si>
    <t>Long run parameters</t>
  </si>
  <si>
    <t>A</t>
  </si>
  <si>
    <t>Tau</t>
  </si>
  <si>
    <t>Labor Force</t>
  </si>
  <si>
    <t>Depreciation Rate</t>
  </si>
  <si>
    <t>Capital share</t>
  </si>
  <si>
    <t>Steady State Capital</t>
  </si>
  <si>
    <t>Steady State Output</t>
  </si>
  <si>
    <t>Sigma/Rho</t>
  </si>
  <si>
    <t>SS maintenance</t>
  </si>
  <si>
    <t>Ratios to Output</t>
  </si>
  <si>
    <t xml:space="preserve">   Capital</t>
  </si>
  <si>
    <t xml:space="preserve">   Maintenance</t>
  </si>
  <si>
    <t>Solow MOD</t>
  </si>
  <si>
    <t>mpk SS</t>
  </si>
  <si>
    <t xml:space="preserve">Consumption </t>
  </si>
  <si>
    <t>Investment</t>
  </si>
  <si>
    <t>Government</t>
  </si>
  <si>
    <t xml:space="preserve">Target rate of inflation </t>
  </si>
  <si>
    <t xml:space="preserve">Natrual rate of interest </t>
  </si>
  <si>
    <t>Shocks -- Expenditure</t>
  </si>
  <si>
    <t>base</t>
  </si>
  <si>
    <t>alt(i)</t>
  </si>
  <si>
    <t>alt(ii)</t>
  </si>
  <si>
    <t>In percent of potential output</t>
  </si>
  <si>
    <t>Shocks - Supply / Expected inflation</t>
  </si>
  <si>
    <r>
      <t>Supply shock (% of Y</t>
    </r>
    <r>
      <rPr>
        <vertAlign val="super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>)</t>
    </r>
  </si>
  <si>
    <t>In percent</t>
  </si>
  <si>
    <t>Inflation expectations (gap w.r.t. target)</t>
  </si>
  <si>
    <t xml:space="preserve">Shocks - Discretionary monetary policy </t>
  </si>
  <si>
    <t>Deviation from Taylor Rule (shift)</t>
  </si>
  <si>
    <t>Main Equations of Short-Run Model</t>
  </si>
  <si>
    <t>Denominator term</t>
  </si>
  <si>
    <t>Calculation of equlibrium output gap  -- component by component</t>
  </si>
  <si>
    <t>(a) Inflation expectations component</t>
  </si>
  <si>
    <t>(d) Discretionary monetary component</t>
  </si>
  <si>
    <t xml:space="preserve">   Maintenance (Steady state investment)</t>
  </si>
  <si>
    <t>Equilibrium inflation rate</t>
  </si>
  <si>
    <t xml:space="preserve">  Consumption </t>
  </si>
  <si>
    <t xml:space="preserve">  Investment </t>
  </si>
  <si>
    <t xml:space="preserve">  Governerment Spending</t>
  </si>
  <si>
    <t xml:space="preserve">Currency-unit results </t>
  </si>
  <si>
    <t xml:space="preserve"> Gross Domestic Product</t>
  </si>
  <si>
    <t>Check</t>
  </si>
  <si>
    <t>gap</t>
  </si>
  <si>
    <t>Phillips Curve (PC)</t>
  </si>
  <si>
    <t>x</t>
  </si>
  <si>
    <t>y</t>
  </si>
  <si>
    <t>graph</t>
  </si>
  <si>
    <t>title</t>
  </si>
  <si>
    <t>(i)</t>
  </si>
  <si>
    <t>(ii)</t>
  </si>
  <si>
    <t>Exports of goods and services</t>
  </si>
  <si>
    <t xml:space="preserve">   Consumption</t>
  </si>
  <si>
    <t xml:space="preserve">   Government</t>
  </si>
  <si>
    <t xml:space="preserve">    Net Exports</t>
  </si>
  <si>
    <t xml:space="preserve">       Exports</t>
  </si>
  <si>
    <t xml:space="preserve">       Imports</t>
  </si>
  <si>
    <t>Sigma</t>
  </si>
  <si>
    <t>External real rate of interest</t>
  </si>
  <si>
    <t xml:space="preserve">Risk Premium </t>
  </si>
  <si>
    <t>Long run external prices</t>
  </si>
  <si>
    <t xml:space="preserve">  Exports Px</t>
  </si>
  <si>
    <t xml:space="preserve">  Imports Pim</t>
  </si>
  <si>
    <r>
      <t>K</t>
    </r>
    <r>
      <rPr>
        <vertAlign val="subscript"/>
        <sz val="11"/>
        <color theme="1"/>
        <rFont val="Calibri"/>
        <family val="2"/>
        <scheme val="minor"/>
      </rPr>
      <t>SS</t>
    </r>
  </si>
  <si>
    <r>
      <t xml:space="preserve">  Non-tradable sector L</t>
    </r>
    <r>
      <rPr>
        <vertAlign val="subscript"/>
        <sz val="11"/>
        <color theme="1"/>
        <rFont val="Calibri"/>
        <family val="2"/>
        <scheme val="minor"/>
      </rPr>
      <t>N</t>
    </r>
  </si>
  <si>
    <r>
      <t xml:space="preserve">  Export sector L</t>
    </r>
    <r>
      <rPr>
        <vertAlign val="subscript"/>
        <sz val="11"/>
        <color theme="1"/>
        <rFont val="Calibri"/>
        <family val="2"/>
        <scheme val="minor"/>
      </rPr>
      <t>X</t>
    </r>
  </si>
  <si>
    <r>
      <t>Total factor prod, exports A</t>
    </r>
    <r>
      <rPr>
        <vertAlign val="subscript"/>
        <sz val="11"/>
        <color theme="1"/>
        <rFont val="Calibri"/>
        <family val="2"/>
        <scheme val="minor"/>
      </rPr>
      <t>X</t>
    </r>
  </si>
  <si>
    <r>
      <t>Total factor prod, non-tradables A</t>
    </r>
    <r>
      <rPr>
        <vertAlign val="subscript"/>
        <sz val="11"/>
        <color theme="1"/>
        <rFont val="Calibri"/>
        <family val="2"/>
        <scheme val="minor"/>
      </rPr>
      <t>N</t>
    </r>
  </si>
  <si>
    <r>
      <t>Y</t>
    </r>
    <r>
      <rPr>
        <vertAlign val="subscript"/>
        <sz val="11"/>
        <color theme="1"/>
        <rFont val="Calibri"/>
        <family val="2"/>
        <scheme val="minor"/>
      </rPr>
      <t>SS</t>
    </r>
  </si>
  <si>
    <t xml:space="preserve">  Non-tradables</t>
  </si>
  <si>
    <t xml:space="preserve">  Exports</t>
  </si>
  <si>
    <t>after tax mpk SS - deprec. rate</t>
  </si>
  <si>
    <t>Imports of goods and services</t>
  </si>
  <si>
    <t xml:space="preserve">Shocks - External financial pressures (efp) </t>
  </si>
  <si>
    <t xml:space="preserve">  Total external financial pressures</t>
  </si>
  <si>
    <t xml:space="preserve">    Real interest rate -- dev.from baseline </t>
  </si>
  <si>
    <t xml:space="preserve">    Risk premium -- dev.from baseline </t>
  </si>
  <si>
    <t xml:space="preserve">Shocks - External Terms of Trade (ln(TT)) </t>
  </si>
  <si>
    <t xml:space="preserve">  TT log deviation from baseline </t>
  </si>
  <si>
    <t xml:space="preserve">    Export price log dev</t>
  </si>
  <si>
    <t xml:space="preserve">    Import price log dev </t>
  </si>
  <si>
    <t xml:space="preserve">(e) External financial pressure component </t>
  </si>
  <si>
    <t>Equilibrium output gap (open economy)</t>
  </si>
  <si>
    <t>Phillips Curve (Inverse Short Run Supply Function, open economy)</t>
  </si>
  <si>
    <t>IS Curve (open economy)</t>
  </si>
  <si>
    <t xml:space="preserve">(f) External terms of trade component </t>
  </si>
  <si>
    <t xml:space="preserve">Output gap (a)-(b)+(c)+(d)+(e)+(f) </t>
  </si>
  <si>
    <t xml:space="preserve">  Net Exports</t>
  </si>
  <si>
    <t xml:space="preserve">     Exports</t>
  </si>
  <si>
    <t xml:space="preserve">     Imports</t>
  </si>
  <si>
    <r>
      <t>Net Exports (NX/Y</t>
    </r>
    <r>
      <rPr>
        <vertAlign val="super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>)</t>
    </r>
  </si>
  <si>
    <t>RER</t>
  </si>
  <si>
    <t>Baseline Real Exchange Rate</t>
  </si>
  <si>
    <t>inc</t>
  </si>
  <si>
    <t>Real price of imports (deviation from norm)</t>
  </si>
  <si>
    <t>Real price of exports (deviation from norm)</t>
  </si>
  <si>
    <t>Real exchange rate (deviation from norm)</t>
  </si>
  <si>
    <t xml:space="preserve">   (appreciaton - )</t>
  </si>
  <si>
    <t>Real exchange rate index</t>
  </si>
  <si>
    <t xml:space="preserve">   (Base = 100, app - )</t>
  </si>
  <si>
    <r>
      <t>Net Exports/Y</t>
    </r>
    <r>
      <rPr>
        <vertAlign val="superscript"/>
        <sz val="11"/>
        <color theme="1"/>
        <rFont val="Calibri"/>
        <family val="2"/>
        <scheme val="minor"/>
      </rPr>
      <t>P</t>
    </r>
  </si>
  <si>
    <r>
      <t>Net Exports/Y</t>
    </r>
    <r>
      <rPr>
        <vertAlign val="superscript"/>
        <sz val="11"/>
        <color theme="1"/>
        <rFont val="Calibri"/>
        <family val="2"/>
        <scheme val="minor"/>
      </rPr>
      <t xml:space="preserve">P  </t>
    </r>
    <r>
      <rPr>
        <sz val="11"/>
        <color theme="1"/>
        <rFont val="Calibri"/>
        <family val="2"/>
        <scheme val="minor"/>
      </rPr>
      <t>Baseline</t>
    </r>
  </si>
  <si>
    <t>NX gap</t>
  </si>
  <si>
    <t>Demand side decomposition of output gap (percent of potential)</t>
  </si>
  <si>
    <t>Output gap</t>
  </si>
  <si>
    <t xml:space="preserve"> </t>
  </si>
  <si>
    <t>Price level (Base = 100)</t>
  </si>
  <si>
    <t>Nominal GDP</t>
  </si>
  <si>
    <t>Fiscal  Accounts (Nominal terms)</t>
  </si>
  <si>
    <t>Revenues</t>
  </si>
  <si>
    <t>Primary Expenditures</t>
  </si>
  <si>
    <t>Primary Balance</t>
  </si>
  <si>
    <t>Interest Payments</t>
  </si>
  <si>
    <t>Overall Balance</t>
  </si>
  <si>
    <t>Debt</t>
  </si>
  <si>
    <t>Memo: Government debt from previous period</t>
  </si>
  <si>
    <t xml:space="preserve">    In percent of GDP</t>
  </si>
  <si>
    <t>Memo: Nominal Interest Rate</t>
  </si>
  <si>
    <t>In percent of GDP</t>
  </si>
  <si>
    <t>Financing (Nominal terms)</t>
  </si>
  <si>
    <t xml:space="preserve">   Domestic</t>
  </si>
  <si>
    <t xml:space="preserve">     Of Which Central Bank</t>
  </si>
  <si>
    <t xml:space="preserve">  External</t>
  </si>
  <si>
    <t>Memo: Domestic/Total</t>
  </si>
  <si>
    <t>Memo: Central Bank/Domestic</t>
  </si>
  <si>
    <t xml:space="preserve">Financing </t>
  </si>
  <si>
    <t>Central Bank Accounts (Nominal terms)</t>
  </si>
  <si>
    <t>Liabilities</t>
  </si>
  <si>
    <t xml:space="preserve">  Base Money</t>
  </si>
  <si>
    <t xml:space="preserve">     Currency</t>
  </si>
  <si>
    <t xml:space="preserve">     Deposits / Other</t>
  </si>
  <si>
    <t xml:space="preserve">  Other/Net Worth</t>
  </si>
  <si>
    <t>Assets</t>
  </si>
  <si>
    <t xml:space="preserve">    Net International Reserves</t>
  </si>
  <si>
    <t xml:space="preserve">    Domestic </t>
  </si>
  <si>
    <t xml:space="preserve">        Government debt</t>
  </si>
  <si>
    <t xml:space="preserve">        Credit to banks</t>
  </si>
  <si>
    <t xml:space="preserve">        Other</t>
  </si>
  <si>
    <t>RELATIVE TO BASELINE</t>
  </si>
  <si>
    <t>Change in international reserves</t>
  </si>
  <si>
    <t xml:space="preserve">  in percent of GDP</t>
  </si>
  <si>
    <t>Memo: Reference value of base money</t>
  </si>
  <si>
    <t xml:space="preserve">    Baseline velocity</t>
  </si>
  <si>
    <t>Deposits etc</t>
  </si>
  <si>
    <t>Response parameters</t>
  </si>
  <si>
    <t xml:space="preserve">   Money demand - output gap</t>
  </si>
  <si>
    <t xml:space="preserve">   Money demand - inflation rate </t>
  </si>
  <si>
    <t xml:space="preserve">   Money demand - nominal intrest rate gap</t>
  </si>
  <si>
    <t>NIR</t>
  </si>
  <si>
    <t>Pub Deb/GDP</t>
  </si>
  <si>
    <t>Dr</t>
  </si>
  <si>
    <t>EB</t>
  </si>
  <si>
    <t>IB</t>
  </si>
  <si>
    <t>i</t>
  </si>
  <si>
    <t>ii</t>
  </si>
  <si>
    <t>A(inv)</t>
  </si>
  <si>
    <t>nx*-nx</t>
  </si>
  <si>
    <t>pi*-pi</t>
  </si>
  <si>
    <t>Dfp</t>
  </si>
  <si>
    <t>Output gap (% of Potential)</t>
  </si>
  <si>
    <t>Real Interest Rate (in percent)</t>
  </si>
  <si>
    <t>Inflation Rate (in percent)</t>
  </si>
  <si>
    <t>Nominal Interest Rate (in percent)</t>
  </si>
  <si>
    <t>Results - Core Domestic Variables</t>
  </si>
  <si>
    <t>Real exchange rate (base=100)</t>
  </si>
  <si>
    <t>Results -- External Sector Variables</t>
  </si>
  <si>
    <t>Relative price of exports (% dev. from base)</t>
  </si>
  <si>
    <t xml:space="preserve">   Exporter's perspective</t>
  </si>
  <si>
    <t>Relative price of imports (% dev. from base)</t>
  </si>
  <si>
    <t xml:space="preserve">   Importer's perspective</t>
  </si>
  <si>
    <t>Net Exports/Potential output</t>
  </si>
  <si>
    <t xml:space="preserve">   Baseline norm</t>
  </si>
  <si>
    <t>Dollar Export Prices</t>
  </si>
  <si>
    <t>PX</t>
  </si>
  <si>
    <t>Dollar Import Prices</t>
  </si>
  <si>
    <t>PM</t>
  </si>
  <si>
    <t>External Terms of Trade</t>
  </si>
  <si>
    <t>PX/PM</t>
  </si>
  <si>
    <t>Current Account</t>
  </si>
  <si>
    <t xml:space="preserve">   Trade Balance (Net Exports)</t>
  </si>
  <si>
    <t xml:space="preserve">      Exports of Goods and Services</t>
  </si>
  <si>
    <t xml:space="preserve">      Imports of Goods and Services</t>
  </si>
  <si>
    <t xml:space="preserve">         Other </t>
  </si>
  <si>
    <t xml:space="preserve">Memo: "Primary" current account </t>
  </si>
  <si>
    <t>Capital and Financial Account</t>
  </si>
  <si>
    <t xml:space="preserve">  Capital Account</t>
  </si>
  <si>
    <t xml:space="preserve">     Foreign Direct Investment</t>
  </si>
  <si>
    <t xml:space="preserve">     Equity Investment</t>
  </si>
  <si>
    <t xml:space="preserve">        Public </t>
  </si>
  <si>
    <t xml:space="preserve">        Private Non-Financial</t>
  </si>
  <si>
    <t xml:space="preserve">        Private Financial</t>
  </si>
  <si>
    <t xml:space="preserve">     Oher Investment (Incl. Loans)</t>
  </si>
  <si>
    <t xml:space="preserve">     Bonds/Marketable Debt Investment</t>
  </si>
  <si>
    <t xml:space="preserve">  Financial Account  (Non Reserve)</t>
  </si>
  <si>
    <t xml:space="preserve">    Errors / Omissions</t>
  </si>
  <si>
    <t xml:space="preserve">External Inflation </t>
  </si>
  <si>
    <t>Domestic Inflation</t>
  </si>
  <si>
    <r>
      <rPr>
        <sz val="11"/>
        <color theme="1"/>
        <rFont val="Symbol"/>
        <family val="1"/>
        <charset val="2"/>
      </rPr>
      <t>p</t>
    </r>
    <r>
      <rPr>
        <vertAlign val="superscript"/>
        <sz val="11"/>
        <color theme="1"/>
        <rFont val="Calibri"/>
        <family val="2"/>
        <scheme val="minor"/>
      </rPr>
      <t>ext</t>
    </r>
  </si>
  <si>
    <t>p</t>
  </si>
  <si>
    <t>Nominal Exchange Rate (determined by RID)</t>
  </si>
  <si>
    <r>
      <t>S</t>
    </r>
    <r>
      <rPr>
        <vertAlign val="superscript"/>
        <sz val="11"/>
        <color theme="1"/>
        <rFont val="Calibri"/>
        <family val="2"/>
        <scheme val="minor"/>
      </rPr>
      <t>PPP</t>
    </r>
  </si>
  <si>
    <t>prev per</t>
  </si>
  <si>
    <t xml:space="preserve">Baseline External Inflation </t>
  </si>
  <si>
    <t>Baseline External Price Levels</t>
  </si>
  <si>
    <t xml:space="preserve">    Exports (Px)</t>
  </si>
  <si>
    <t xml:space="preserve">    Imports (Pm)</t>
  </si>
  <si>
    <t xml:space="preserve">    Terms of trade (Px/Pm)</t>
  </si>
  <si>
    <t>External Price Level</t>
  </si>
  <si>
    <t xml:space="preserve">    External Price Index (Cobb Doug)</t>
  </si>
  <si>
    <r>
      <t>P</t>
    </r>
    <r>
      <rPr>
        <vertAlign val="superscript"/>
        <sz val="11"/>
        <color theme="1"/>
        <rFont val="Calibri"/>
        <family val="2"/>
        <scheme val="minor"/>
      </rPr>
      <t>EXT</t>
    </r>
  </si>
  <si>
    <t>Reference PPP Exchange Rate (app -)</t>
  </si>
  <si>
    <t>Growth of export deflator (rel to base)</t>
  </si>
  <si>
    <t>Previous period nominal exchange rate</t>
  </si>
  <si>
    <t>Baseline PPP Nominal exchange rate</t>
  </si>
  <si>
    <t>Nominal Exports, domestic currency</t>
  </si>
  <si>
    <t>Nomina Exports, US Dollars</t>
  </si>
  <si>
    <t>Growth of import deflator (rel to base)</t>
  </si>
  <si>
    <t>Nominal Imports, domestic currency</t>
  </si>
  <si>
    <t>Nomina Imports, US Dollars</t>
  </si>
  <si>
    <t xml:space="preserve">    Primary Income </t>
  </si>
  <si>
    <t xml:space="preserve">   Secondary Income (Transfers/Remittances)</t>
  </si>
  <si>
    <t>Overall Balance (=Change in Reserves)</t>
  </si>
  <si>
    <t>Nominal GDP USD</t>
  </si>
  <si>
    <t>Debt/GDP</t>
  </si>
  <si>
    <t>Interest rate USD</t>
  </si>
  <si>
    <t>Memo: Non-debt creating flows of fin acct</t>
  </si>
  <si>
    <t>Debt Calculation</t>
  </si>
  <si>
    <t>Reserves/Imports (in months)</t>
  </si>
  <si>
    <t>Current Account/GDP</t>
  </si>
  <si>
    <t>Primary Current Account/GDP</t>
  </si>
  <si>
    <t xml:space="preserve">Nominal Short (Policy) Interest Rate (Taylor Rule, open economy) </t>
  </si>
  <si>
    <t>Real Short (Policy) Interest Rate (RR) schedule, open economy, NO ZLB</t>
  </si>
  <si>
    <t xml:space="preserve">Credit Market Spread </t>
  </si>
  <si>
    <t>Real Interest Rates in Domestic Credit Markets (CM)</t>
  </si>
  <si>
    <t>(b) Supply shock component (subtract off)</t>
  </si>
  <si>
    <t xml:space="preserve">(c) Demand shock component (including fiscal) </t>
  </si>
  <si>
    <t>Dom</t>
  </si>
  <si>
    <t>Ext</t>
  </si>
  <si>
    <t>Net</t>
  </si>
  <si>
    <t xml:space="preserve">Equilibrium policy real interest rate </t>
  </si>
  <si>
    <t xml:space="preserve">Equilibrium credit market spread (sp) </t>
  </si>
  <si>
    <t xml:space="preserve">Equilibrium credit market  interest rate </t>
  </si>
  <si>
    <t>Consumption</t>
  </si>
  <si>
    <t>Shocks -- Deomestic Expenditure</t>
  </si>
  <si>
    <t>Policy</t>
  </si>
  <si>
    <t xml:space="preserve">    Gov't Spending</t>
  </si>
  <si>
    <t xml:space="preserve">   Tax Measures (one-off)</t>
  </si>
  <si>
    <t xml:space="preserve">Total Domestic Demand </t>
  </si>
  <si>
    <t>Exports</t>
  </si>
  <si>
    <t>Imports</t>
  </si>
  <si>
    <t>IS Curve (credit market interest rate)</t>
  </si>
  <si>
    <t>RR Curve (Credit Market Interest Rate = policy rate plus spread)</t>
  </si>
  <si>
    <t>Credit market spread (sp)</t>
  </si>
  <si>
    <t>RR Curve (policy rate)</t>
  </si>
  <si>
    <t xml:space="preserve">   Primary current account</t>
  </si>
  <si>
    <t xml:space="preserve">        Interest on debt (gross liabilities)</t>
  </si>
  <si>
    <t xml:space="preserve">   Interest on debt (gross liabilities)</t>
  </si>
  <si>
    <t xml:space="preserve">   Non-debt creating financing flows</t>
  </si>
  <si>
    <t>Prev Period</t>
  </si>
  <si>
    <t xml:space="preserve">Memo: Implicit change in real external interest rate </t>
  </si>
  <si>
    <t xml:space="preserve">required to keep nominal interest rate constant. </t>
  </si>
  <si>
    <t>Memo: "no shock" external inflation</t>
  </si>
  <si>
    <t>Memo: Nominal Interest Rate  USD</t>
  </si>
  <si>
    <r>
      <t>Memo: TT adjjustment to r</t>
    </r>
    <r>
      <rPr>
        <vertAlign val="superscript"/>
        <sz val="11"/>
        <color theme="1"/>
        <rFont val="Calibri"/>
        <family val="2"/>
        <scheme val="minor"/>
      </rPr>
      <t>EXT</t>
    </r>
  </si>
  <si>
    <t>Memo: External Nominal Interest Rate USD</t>
  </si>
  <si>
    <t>YES</t>
  </si>
  <si>
    <t>NO</t>
  </si>
  <si>
    <t xml:space="preserve">Model consistent fix of nominal USD interest rate (YES or NO)? </t>
  </si>
  <si>
    <t xml:space="preserve">Ad-hoc fix of nominal USD interest rate (YES or NO)? </t>
  </si>
  <si>
    <t>Short term debt</t>
  </si>
  <si>
    <t>Reserves / short term debt</t>
  </si>
  <si>
    <t xml:space="preserve">        Short-term Debt (Residual)</t>
  </si>
  <si>
    <t>prev  period</t>
  </si>
  <si>
    <t xml:space="preserve">Memo: Nominal Interest Rate for Governemnet Debt </t>
  </si>
  <si>
    <t>Memo: cyclical impacts</t>
  </si>
  <si>
    <t xml:space="preserve">   Revenues</t>
  </si>
  <si>
    <t xml:space="preserve">   Primary Expenditures</t>
  </si>
  <si>
    <t>Memo Output Gap in percent of GDP</t>
  </si>
  <si>
    <t>Amortization (10% of total debt)</t>
  </si>
  <si>
    <t>Memo: Stock of reserves, USD</t>
  </si>
  <si>
    <t>External Debt Dynamics</t>
  </si>
  <si>
    <t>Balance of Payments in US dollars</t>
  </si>
  <si>
    <t>Reserve Adequacy (traditional measures)</t>
  </si>
  <si>
    <t>Reserves/Amortization  (Years)</t>
  </si>
  <si>
    <t>Memo: Nominal GDP</t>
  </si>
  <si>
    <t>Fiscal  Accounts (in percent of GDP)</t>
  </si>
  <si>
    <t>Fiscal Financing (Nominal terms)</t>
  </si>
  <si>
    <t>Fiscal Financing (in percent of GDP)</t>
  </si>
  <si>
    <t>Memo Price level (Base = 100)</t>
  </si>
  <si>
    <t>Demand for Base Money -- assumptions</t>
  </si>
  <si>
    <t>M2 Money Multiplier (assumed): M2/Base Money</t>
  </si>
  <si>
    <t>Reserves / M2</t>
  </si>
  <si>
    <t>Financial account ("captial flow") algebra March 29, 2016</t>
  </si>
  <si>
    <t xml:space="preserve">Test </t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</si>
  <si>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 xml:space="preserve"> nx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</si>
  <si>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 xml:space="preserve"> efp</t>
    </r>
  </si>
  <si>
    <r>
      <t>Financial account flows (in percent of Y</t>
    </r>
    <r>
      <rPr>
        <vertAlign val="super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>)</t>
    </r>
  </si>
  <si>
    <t xml:space="preserve">  (Negative -- capital outflow)</t>
  </si>
  <si>
    <t xml:space="preserve">    Capital account shock</t>
  </si>
  <si>
    <t>Net Exports --efp component</t>
  </si>
  <si>
    <t>Direct</t>
  </si>
  <si>
    <t xml:space="preserve">   Net</t>
  </si>
  <si>
    <t xml:space="preserve">      Imports</t>
  </si>
  <si>
    <t>Indirect -- gap</t>
  </si>
  <si>
    <t>Indirect -- interest rate</t>
  </si>
  <si>
    <t xml:space="preserve">     Exports (0)</t>
  </si>
  <si>
    <t>efp comp gap</t>
  </si>
  <si>
    <t>import efp gap</t>
  </si>
  <si>
    <t>int rat gap</t>
  </si>
  <si>
    <t>int rat efp</t>
  </si>
  <si>
    <t>Total r efp</t>
  </si>
  <si>
    <t xml:space="preserve">   Ir gap component</t>
  </si>
  <si>
    <t>final exports</t>
  </si>
  <si>
    <t>final imports</t>
  </si>
  <si>
    <t>Exports -- all efp</t>
  </si>
  <si>
    <t>Imports -- all efp</t>
  </si>
  <si>
    <t xml:space="preserve">   Ir component</t>
  </si>
  <si>
    <t xml:space="preserve">   gap component</t>
  </si>
  <si>
    <t>net exports</t>
  </si>
  <si>
    <t>FINAL NET EXPORTS</t>
  </si>
  <si>
    <t>New calc</t>
  </si>
  <si>
    <t>Transmission of externally based shocks</t>
  </si>
  <si>
    <t>Er component</t>
  </si>
  <si>
    <t xml:space="preserve">    Net International Reserves (NIR)</t>
  </si>
  <si>
    <t xml:space="preserve">    Domestic Credit (DC)</t>
  </si>
  <si>
    <t>Foreign Exchange Intervention (Y/N)</t>
  </si>
  <si>
    <t>Memo: Debt creating flows of financial account</t>
  </si>
  <si>
    <t>Addendum: Risk Based Metrics for External Shocks</t>
  </si>
  <si>
    <t xml:space="preserve">    Value of shock (from above)</t>
  </si>
  <si>
    <t xml:space="preserve">    Probability </t>
  </si>
  <si>
    <t xml:space="preserve">    Assumed Mean*</t>
  </si>
  <si>
    <t xml:space="preserve">    Assumed Standard Deviation (%)*</t>
  </si>
  <si>
    <t xml:space="preserve">    Value at Risk --1%*</t>
  </si>
  <si>
    <t xml:space="preserve">    Value at Risk --5%*</t>
  </si>
  <si>
    <t xml:space="preserve">    Value at Risk -- 10%*</t>
  </si>
  <si>
    <t xml:space="preserve">    * Equal across scenarios</t>
  </si>
  <si>
    <t>A. External Financial Pressures (efp)</t>
  </si>
  <si>
    <t xml:space="preserve">B. Terms of Trade (external goods markets, TT) </t>
  </si>
  <si>
    <t>C. Joint Probability - External Financial Pressures and Terms of Trade</t>
  </si>
  <si>
    <t xml:space="preserve">    **  A value of zero assumes shocks are mutually independent. </t>
  </si>
  <si>
    <t>Endogenous response of risk premium</t>
  </si>
  <si>
    <t>Long term growth rate</t>
  </si>
  <si>
    <t>N</t>
  </si>
  <si>
    <t>Debt stabilizaing primary current account</t>
  </si>
  <si>
    <t>Gap (pca(ds) minus pca(observed)</t>
  </si>
  <si>
    <t>Long run real interest rate</t>
  </si>
  <si>
    <t>Net International Investment Position  (NIIP)</t>
  </si>
  <si>
    <t>NIIP in percent of GDP</t>
  </si>
  <si>
    <r>
      <t xml:space="preserve">    Probability efp </t>
    </r>
    <r>
      <rPr>
        <sz val="11"/>
        <color theme="1"/>
        <rFont val="Calibri"/>
        <family val="2"/>
      </rPr>
      <t>≥ value</t>
    </r>
  </si>
  <si>
    <r>
      <t xml:space="preserve">    Probability  TT </t>
    </r>
    <r>
      <rPr>
        <sz val="11"/>
        <color theme="1"/>
        <rFont val="Calibri"/>
        <family val="2"/>
        <scheme val="minor"/>
      </rPr>
      <t>≤ value</t>
    </r>
  </si>
  <si>
    <t xml:space="preserve">       Value at Risk --1%</t>
  </si>
  <si>
    <t xml:space="preserve">       Value at Risk --5%</t>
  </si>
  <si>
    <t xml:space="preserve">       Value at Risk -- 10%</t>
  </si>
  <si>
    <t xml:space="preserve">Probabilistic impact on GDP (output gap)  -- TT plus endogenous efp (the "double whammy") </t>
  </si>
  <si>
    <t xml:space="preserve">       Assumed Standard Deviation (%) *</t>
  </si>
  <si>
    <t xml:space="preserve">       Value at Risk --1% *</t>
  </si>
  <si>
    <t xml:space="preserve">       Value at Risk --5% *</t>
  </si>
  <si>
    <t xml:space="preserve">       Value at Risk -- 10% *</t>
  </si>
  <si>
    <t>Endogenous response of  (efp) risk premium</t>
  </si>
  <si>
    <t xml:space="preserve">Terms of Trade (TT) </t>
  </si>
  <si>
    <t xml:space="preserve">    Assumed correlation with adverse TT shock**</t>
  </si>
  <si>
    <t xml:space="preserve">    **  A value of zero assumes shocks are mutually independent; improvments in TT have no impact on efp (risk premium) </t>
  </si>
  <si>
    <t>Financing Constraint (Y/N)</t>
  </si>
  <si>
    <t xml:space="preserve"> Nominal Exchange Rate</t>
  </si>
  <si>
    <t>Alternative Asset side for central bank -- constrained FA</t>
  </si>
  <si>
    <t xml:space="preserve">Alternative Presentation -- Fixed External Finance Constraint </t>
  </si>
  <si>
    <t>Capital and Financial Account  (Enter exogenous value)</t>
  </si>
  <si>
    <t>Assets -- Alternative Modesl</t>
  </si>
  <si>
    <t>Y</t>
  </si>
  <si>
    <t>FIX</t>
  </si>
  <si>
    <t xml:space="preserve">Mode A: No External Financing Constraint, No FX Intervention </t>
  </si>
  <si>
    <t xml:space="preserve">Mode C:  External Financing Constraint (specify on BoP dashboard),  FX Intervention allowed </t>
  </si>
  <si>
    <r>
      <t xml:space="preserve">Choose Mode (Use DROPDOWN below) </t>
    </r>
    <r>
      <rPr>
        <sz val="11"/>
        <color theme="1"/>
        <rFont val="Calibri"/>
        <family val="2"/>
      </rPr>
      <t>↓</t>
    </r>
  </si>
  <si>
    <t>Mode (Chosen in Fiscal/CB Dashboard)</t>
  </si>
  <si>
    <r>
      <t xml:space="preserve">Debt -- First Pass (Hard paste below </t>
    </r>
    <r>
      <rPr>
        <sz val="11"/>
        <color theme="1"/>
        <rFont val="Calibri"/>
        <family val="2"/>
      </rPr>
      <t>↓)</t>
    </r>
  </si>
  <si>
    <t xml:space="preserve">  Iteration Gap</t>
  </si>
  <si>
    <r>
      <t xml:space="preserve">    Net International Reserves (NIR) -- First Pass (Hard paste below </t>
    </r>
    <r>
      <rPr>
        <sz val="11"/>
        <color theme="1"/>
        <rFont val="Calibri"/>
        <family val="2"/>
      </rPr>
      <t>↓)</t>
    </r>
  </si>
  <si>
    <t>Mode B: No External Financing Constraint, FX Intervention allowed DO NOT USE</t>
  </si>
  <si>
    <t xml:space="preserve">        Government debt  PROGRAMMED FROM FISCAL </t>
  </si>
  <si>
    <t xml:space="preserve">        Other  PROGRAMMED</t>
  </si>
  <si>
    <t>baseline</t>
  </si>
  <si>
    <t>TT drop</t>
  </si>
  <si>
    <t>TT drop+fiscal expansion</t>
  </si>
  <si>
    <t>Govt Debt (% of GDP)</t>
  </si>
  <si>
    <t>External debt (% of GDP)</t>
  </si>
  <si>
    <t>TT Shock</t>
  </si>
  <si>
    <t>Prob</t>
  </si>
  <si>
    <t>EFP shock</t>
  </si>
  <si>
    <t>Jt Prob</t>
  </si>
  <si>
    <t xml:space="preserve">    Assumed correlation with TOT shock**</t>
  </si>
  <si>
    <t>Combined: marg prop consume and inv acc.</t>
  </si>
  <si>
    <t xml:space="preserve">  Financial Account  (Excluding Reserves)</t>
  </si>
  <si>
    <t>Overall Balance (=Change in Int'l Reserves)</t>
  </si>
  <si>
    <t>Memo: Change in NDA (Residual calculatoin from central bank)</t>
  </si>
  <si>
    <t>FIXED NOMINAL FINANCING BY CENTRAL BANK? (Y/N)</t>
  </si>
  <si>
    <t>→</t>
  </si>
  <si>
    <t xml:space="preserve">        Other domestic  -- RESIDUAL (Sterilization)</t>
  </si>
  <si>
    <r>
      <t>Memo: Sterilizing Transactions (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 xml:space="preserve"> Other Domestic) </t>
    </r>
  </si>
  <si>
    <t>D Other Dom</t>
  </si>
  <si>
    <t>case(a)</t>
  </si>
  <si>
    <t>case(b)</t>
  </si>
  <si>
    <t>case(c)</t>
  </si>
  <si>
    <t>Memo: Correlated shocks: Terms of Trade and External Financial Pressures</t>
  </si>
  <si>
    <t xml:space="preserve">Probabilistic impact on GDP/Output gap  -- Exogenous efp shock </t>
  </si>
  <si>
    <t>Probabilistic impact on GDP/Output gap  -- adverse TOT shock</t>
  </si>
  <si>
    <t>http://www.evanctanner.com/simple-models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</si>
</sst>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0.0%"/>
    <numFmt numFmtId="165" formatCode="0.000"/>
    <numFmt numFmtId="166" formatCode="0.0"/>
    <numFmt numFmtId="167" formatCode="0.0000"/>
    <numFmt numFmtId="168" formatCode="0.000000000000"/>
    <numFmt numFmtId="169" formatCode="0.000%"/>
    <numFmt numFmtId="170" formatCode="0.000000"/>
    <numFmt numFmtId="171" formatCode="0.00000000000000%"/>
    <numFmt numFmtId="172" formatCode="[$-F400]h:mm:ss\ AM/PM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theme="1"/>
      <name val="Calibri"/>
      <family val="1"/>
      <charset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BB3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AE8AA"/>
        <bgColor indexed="64"/>
      </patternFill>
    </fill>
  </fills>
  <borders count="12">
    <border>
      <left/>
      <right/>
      <top/>
      <bottom/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/>
      <diagonal/>
    </border>
    <border>
      <left/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/>
      <top/>
      <bottom/>
      <diagonal/>
    </border>
    <border>
      <left/>
      <right style="thick">
        <color rgb="FFC00000"/>
      </right>
      <top/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/>
      <right/>
      <top/>
      <bottom style="thick">
        <color rgb="FFC00000"/>
      </bottom>
      <diagonal/>
    </border>
    <border>
      <left/>
      <right style="thick">
        <color rgb="FFC00000"/>
      </right>
      <top/>
      <bottom style="thick">
        <color rgb="FFC00000"/>
      </bottom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  <border>
      <left/>
      <right/>
      <top style="thick">
        <color rgb="FFC00000"/>
      </top>
      <bottom style="thick">
        <color rgb="FFC00000"/>
      </bottom>
      <diagonal/>
    </border>
    <border>
      <left/>
      <right style="thick">
        <color rgb="FFC00000"/>
      </right>
      <top style="thick">
        <color rgb="FFC00000"/>
      </top>
      <bottom style="thick">
        <color rgb="FFC00000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72" fontId="1" fillId="0" borderId="0"/>
    <xf numFmtId="0" fontId="25" fillId="0" borderId="0" applyNumberFormat="0" applyFill="0" applyBorder="0" applyAlignment="0" applyProtection="0"/>
  </cellStyleXfs>
  <cellXfs count="173">
    <xf numFmtId="0" fontId="0" fillId="0" borderId="0" xfId="0"/>
    <xf numFmtId="164" fontId="0" fillId="0" borderId="0" xfId="1" applyNumberFormat="1" applyFont="1"/>
    <xf numFmtId="2" fontId="0" fillId="2" borderId="0" xfId="1" applyNumberFormat="1" applyFont="1" applyFill="1"/>
    <xf numFmtId="0" fontId="0" fillId="2" borderId="0" xfId="0" applyFill="1"/>
    <xf numFmtId="2" fontId="0" fillId="2" borderId="0" xfId="0" applyNumberFormat="1" applyFill="1"/>
    <xf numFmtId="164" fontId="0" fillId="4" borderId="0" xfId="1" applyNumberFormat="1" applyFont="1" applyFill="1"/>
    <xf numFmtId="164" fontId="0" fillId="5" borderId="0" xfId="1" applyNumberFormat="1" applyFont="1" applyFill="1"/>
    <xf numFmtId="166" fontId="0" fillId="5" borderId="0" xfId="0" applyNumberFormat="1" applyFill="1"/>
    <xf numFmtId="164" fontId="0" fillId="3" borderId="0" xfId="0" applyNumberFormat="1" applyFill="1"/>
    <xf numFmtId="164" fontId="2" fillId="3" borderId="0" xfId="0" applyNumberFormat="1" applyFont="1" applyFill="1"/>
    <xf numFmtId="165" fontId="2" fillId="0" borderId="0" xfId="0" applyNumberFormat="1" applyFont="1" applyAlignment="1">
      <alignment horizontal="center"/>
    </xf>
    <xf numFmtId="2" fontId="2" fillId="3" borderId="0" xfId="1" applyNumberFormat="1" applyFont="1" applyFill="1"/>
    <xf numFmtId="2" fontId="0" fillId="0" borderId="0" xfId="1" applyNumberFormat="1" applyFont="1"/>
    <xf numFmtId="10" fontId="0" fillId="0" borderId="0" xfId="0" applyNumberFormat="1"/>
    <xf numFmtId="164" fontId="0" fillId="0" borderId="0" xfId="0" applyNumberFormat="1"/>
    <xf numFmtId="164" fontId="2" fillId="0" borderId="0" xfId="1" applyNumberFormat="1" applyFont="1"/>
    <xf numFmtId="0" fontId="0" fillId="5" borderId="0" xfId="0" applyFill="1"/>
    <xf numFmtId="0" fontId="0" fillId="6" borderId="0" xfId="0" applyFill="1"/>
    <xf numFmtId="0" fontId="0" fillId="7" borderId="0" xfId="0" applyFill="1"/>
    <xf numFmtId="9" fontId="0" fillId="0" borderId="0" xfId="0" applyNumberFormat="1"/>
    <xf numFmtId="164" fontId="4" fillId="5" borderId="0" xfId="1" applyNumberFormat="1" applyFont="1" applyFill="1"/>
    <xf numFmtId="2" fontId="0" fillId="5" borderId="0" xfId="1" applyNumberFormat="1" applyFont="1" applyFill="1"/>
    <xf numFmtId="166" fontId="0" fillId="0" borderId="0" xfId="0" applyNumberFormat="1"/>
    <xf numFmtId="164" fontId="0" fillId="6" borderId="0" xfId="0" applyNumberFormat="1" applyFill="1"/>
    <xf numFmtId="2" fontId="6" fillId="2" borderId="0" xfId="0" applyNumberFormat="1" applyFont="1" applyFill="1"/>
    <xf numFmtId="0" fontId="0" fillId="0" borderId="0" xfId="0" applyFill="1"/>
    <xf numFmtId="2" fontId="0" fillId="0" borderId="0" xfId="0" applyNumberFormat="1"/>
    <xf numFmtId="10" fontId="0" fillId="3" borderId="0" xfId="1" applyNumberFormat="1" applyFont="1" applyFill="1"/>
    <xf numFmtId="10" fontId="0" fillId="0" borderId="0" xfId="1" applyNumberFormat="1" applyFont="1"/>
    <xf numFmtId="0" fontId="0" fillId="8" borderId="0" xfId="0" applyFill="1"/>
    <xf numFmtId="1" fontId="0" fillId="5" borderId="0" xfId="1" applyNumberFormat="1" applyFont="1" applyFill="1"/>
    <xf numFmtId="166" fontId="2" fillId="0" borderId="0" xfId="0" applyNumberFormat="1" applyFont="1"/>
    <xf numFmtId="166" fontId="2" fillId="3" borderId="0" xfId="0" applyNumberFormat="1" applyFont="1" applyFill="1"/>
    <xf numFmtId="164" fontId="2" fillId="3" borderId="0" xfId="1" applyNumberFormat="1" applyFont="1" applyFill="1"/>
    <xf numFmtId="0" fontId="0" fillId="0" borderId="0" xfId="0" applyAlignment="1">
      <alignment horizontal="center"/>
    </xf>
    <xf numFmtId="164" fontId="0" fillId="0" borderId="0" xfId="1" applyNumberFormat="1" applyFont="1" applyAlignment="1">
      <alignment horizontal="center"/>
    </xf>
    <xf numFmtId="9" fontId="0" fillId="0" borderId="0" xfId="1" applyFont="1"/>
    <xf numFmtId="2" fontId="2" fillId="3" borderId="0" xfId="0" applyNumberFormat="1" applyFont="1" applyFill="1"/>
    <xf numFmtId="165" fontId="0" fillId="9" borderId="0" xfId="0" applyNumberFormat="1" applyFill="1"/>
    <xf numFmtId="164" fontId="0" fillId="9" borderId="0" xfId="1" applyNumberFormat="1" applyFont="1" applyFill="1"/>
    <xf numFmtId="2" fontId="2" fillId="10" borderId="0" xfId="0" applyNumberFormat="1" applyFont="1" applyFill="1"/>
    <xf numFmtId="2" fontId="4" fillId="11" borderId="0" xfId="0" applyNumberFormat="1" applyFont="1" applyFill="1"/>
    <xf numFmtId="0" fontId="8" fillId="12" borderId="0" xfId="0" applyFont="1" applyFill="1"/>
    <xf numFmtId="0" fontId="7" fillId="0" borderId="0" xfId="0" applyFont="1"/>
    <xf numFmtId="2" fontId="9" fillId="13" borderId="0" xfId="0" applyNumberFormat="1" applyFont="1" applyFill="1"/>
    <xf numFmtId="2" fontId="9" fillId="0" borderId="0" xfId="0" applyNumberFormat="1" applyFont="1" applyFill="1"/>
    <xf numFmtId="2" fontId="9" fillId="12" borderId="0" xfId="0" applyNumberFormat="1" applyFont="1" applyFill="1"/>
    <xf numFmtId="164" fontId="9" fillId="13" borderId="0" xfId="1" applyNumberFormat="1" applyFont="1" applyFill="1"/>
    <xf numFmtId="164" fontId="9" fillId="0" borderId="0" xfId="1" applyNumberFormat="1" applyFont="1" applyFill="1"/>
    <xf numFmtId="164" fontId="9" fillId="12" borderId="0" xfId="1" applyNumberFormat="1" applyFont="1" applyFill="1"/>
    <xf numFmtId="1" fontId="0" fillId="9" borderId="0" xfId="0" applyNumberFormat="1" applyFill="1"/>
    <xf numFmtId="165" fontId="0" fillId="0" borderId="0" xfId="0" applyNumberFormat="1"/>
    <xf numFmtId="165" fontId="2" fillId="3" borderId="0" xfId="0" applyNumberFormat="1" applyFont="1" applyFill="1"/>
    <xf numFmtId="2" fontId="0" fillId="3" borderId="0" xfId="0" applyNumberFormat="1" applyFill="1"/>
    <xf numFmtId="9" fontId="0" fillId="14" borderId="0" xfId="0" applyNumberFormat="1" applyFill="1"/>
    <xf numFmtId="0" fontId="2" fillId="0" borderId="0" xfId="0" applyFont="1"/>
    <xf numFmtId="0" fontId="11" fillId="0" borderId="0" xfId="0" applyFont="1"/>
    <xf numFmtId="0" fontId="10" fillId="0" borderId="0" xfId="0" applyFont="1"/>
    <xf numFmtId="166" fontId="12" fillId="7" borderId="0" xfId="0" applyNumberFormat="1" applyFont="1" applyFill="1"/>
    <xf numFmtId="164" fontId="0" fillId="15" borderId="0" xfId="1" applyNumberFormat="1" applyFont="1" applyFill="1"/>
    <xf numFmtId="166" fontId="0" fillId="15" borderId="0" xfId="1" applyNumberFormat="1" applyFont="1" applyFill="1"/>
    <xf numFmtId="2" fontId="2" fillId="9" borderId="0" xfId="0" applyNumberFormat="1" applyFont="1" applyFill="1"/>
    <xf numFmtId="2" fontId="9" fillId="3" borderId="0" xfId="0" applyNumberFormat="1" applyFont="1" applyFill="1"/>
    <xf numFmtId="2" fontId="6" fillId="16" borderId="0" xfId="0" applyNumberFormat="1" applyFont="1" applyFill="1"/>
    <xf numFmtId="2" fontId="2" fillId="7" borderId="0" xfId="0" applyNumberFormat="1" applyFont="1" applyFill="1"/>
    <xf numFmtId="10" fontId="2" fillId="3" borderId="0" xfId="1" applyNumberFormat="1" applyFont="1" applyFill="1"/>
    <xf numFmtId="2" fontId="9" fillId="16" borderId="0" xfId="0" applyNumberFormat="1" applyFont="1" applyFill="1"/>
    <xf numFmtId="2" fontId="2" fillId="0" borderId="0" xfId="0" applyNumberFormat="1" applyFont="1" applyFill="1"/>
    <xf numFmtId="164" fontId="13" fillId="0" borderId="0" xfId="1" applyNumberFormat="1" applyFont="1" applyFill="1"/>
    <xf numFmtId="0" fontId="6" fillId="9" borderId="0" xfId="0" applyFont="1" applyFill="1"/>
    <xf numFmtId="10" fontId="2" fillId="0" borderId="0" xfId="1" applyNumberFormat="1" applyFont="1"/>
    <xf numFmtId="0" fontId="0" fillId="17" borderId="0" xfId="0" applyFill="1"/>
    <xf numFmtId="0" fontId="0" fillId="18" borderId="0" xfId="0" applyFill="1"/>
    <xf numFmtId="10" fontId="2" fillId="3" borderId="0" xfId="0" applyNumberFormat="1" applyFont="1" applyFill="1"/>
    <xf numFmtId="167" fontId="0" fillId="0" borderId="0" xfId="0" applyNumberFormat="1"/>
    <xf numFmtId="164" fontId="0" fillId="7" borderId="0" xfId="1" applyNumberFormat="1" applyFont="1" applyFill="1"/>
    <xf numFmtId="0" fontId="0" fillId="4" borderId="0" xfId="0" applyFill="1"/>
    <xf numFmtId="0" fontId="14" fillId="0" borderId="0" xfId="0" applyFont="1"/>
    <xf numFmtId="164" fontId="2" fillId="10" borderId="0" xfId="1" applyNumberFormat="1" applyFont="1" applyFill="1"/>
    <xf numFmtId="10" fontId="2" fillId="10" borderId="0" xfId="1" applyNumberFormat="1" applyFont="1" applyFill="1"/>
    <xf numFmtId="168" fontId="0" fillId="0" borderId="0" xfId="0" applyNumberFormat="1"/>
    <xf numFmtId="0" fontId="13" fillId="0" borderId="0" xfId="0" applyFont="1"/>
    <xf numFmtId="166" fontId="2" fillId="3" borderId="0" xfId="1" applyNumberFormat="1" applyFont="1" applyFill="1"/>
    <xf numFmtId="9" fontId="15" fillId="4" borderId="0" xfId="1" applyFont="1" applyFill="1"/>
    <xf numFmtId="169" fontId="0" fillId="0" borderId="0" xfId="0" applyNumberFormat="1"/>
    <xf numFmtId="0" fontId="6" fillId="0" borderId="0" xfId="0" applyFont="1"/>
    <xf numFmtId="164" fontId="0" fillId="19" borderId="0" xfId="1" applyNumberFormat="1" applyFont="1" applyFill="1"/>
    <xf numFmtId="0" fontId="16" fillId="0" borderId="0" xfId="0" applyFont="1"/>
    <xf numFmtId="10" fontId="0" fillId="19" borderId="0" xfId="1" applyNumberFormat="1" applyFont="1" applyFill="1"/>
    <xf numFmtId="167" fontId="6" fillId="2" borderId="0" xfId="0" applyNumberFormat="1" applyFont="1" applyFill="1"/>
    <xf numFmtId="2" fontId="6" fillId="20" borderId="0" xfId="0" applyNumberFormat="1" applyFont="1" applyFill="1"/>
    <xf numFmtId="170" fontId="0" fillId="2" borderId="0" xfId="1" applyNumberFormat="1" applyFont="1" applyFill="1"/>
    <xf numFmtId="170" fontId="0" fillId="0" borderId="0" xfId="0" applyNumberFormat="1"/>
    <xf numFmtId="0" fontId="9" fillId="0" borderId="0" xfId="0" applyFont="1"/>
    <xf numFmtId="0" fontId="9" fillId="3" borderId="0" xfId="0" applyFont="1" applyFill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164" fontId="0" fillId="6" borderId="0" xfId="0" applyNumberFormat="1" applyFill="1" applyBorder="1"/>
    <xf numFmtId="164" fontId="0" fillId="6" borderId="5" xfId="0" applyNumberFormat="1" applyFill="1" applyBorder="1"/>
    <xf numFmtId="164" fontId="2" fillId="3" borderId="0" xfId="1" applyNumberFormat="1" applyFont="1" applyFill="1" applyBorder="1"/>
    <xf numFmtId="164" fontId="2" fillId="3" borderId="5" xfId="1" applyNumberFormat="1" applyFont="1" applyFill="1" applyBorder="1"/>
    <xf numFmtId="164" fontId="0" fillId="18" borderId="0" xfId="0" applyNumberFormat="1" applyFill="1" applyBorder="1"/>
    <xf numFmtId="164" fontId="0" fillId="18" borderId="5" xfId="0" applyNumberFormat="1" applyFill="1" applyBorder="1"/>
    <xf numFmtId="164" fontId="6" fillId="0" borderId="0" xfId="1" applyNumberFormat="1" applyFont="1" applyBorder="1"/>
    <xf numFmtId="164" fontId="6" fillId="0" borderId="5" xfId="1" applyNumberFormat="1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5" xfId="0" applyBorder="1"/>
    <xf numFmtId="2" fontId="0" fillId="18" borderId="0" xfId="0" applyNumberFormat="1" applyFill="1" applyBorder="1"/>
    <xf numFmtId="2" fontId="0" fillId="18" borderId="5" xfId="0" applyNumberFormat="1" applyFill="1" applyBorder="1"/>
    <xf numFmtId="10" fontId="6" fillId="0" borderId="0" xfId="1" applyNumberFormat="1" applyFont="1" applyBorder="1"/>
    <xf numFmtId="10" fontId="6" fillId="0" borderId="5" xfId="1" applyNumberFormat="1" applyFont="1" applyBorder="1"/>
    <xf numFmtId="164" fontId="0" fillId="18" borderId="0" xfId="1" applyNumberFormat="1" applyFont="1" applyFill="1" applyBorder="1"/>
    <xf numFmtId="164" fontId="0" fillId="6" borderId="0" xfId="1" applyNumberFormat="1" applyFont="1" applyFill="1"/>
    <xf numFmtId="164" fontId="6" fillId="6" borderId="0" xfId="0" applyNumberFormat="1" applyFont="1" applyFill="1"/>
    <xf numFmtId="0" fontId="0" fillId="0" borderId="4" xfId="0" applyFont="1" applyBorder="1"/>
    <xf numFmtId="164" fontId="18" fillId="0" borderId="0" xfId="1" applyNumberFormat="1" applyFont="1" applyBorder="1" applyAlignment="1">
      <alignment horizontal="center"/>
    </xf>
    <xf numFmtId="164" fontId="18" fillId="0" borderId="5" xfId="1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Fill="1" applyBorder="1"/>
    <xf numFmtId="0" fontId="0" fillId="0" borderId="0" xfId="0" applyFill="1" applyBorder="1"/>
    <xf numFmtId="164" fontId="0" fillId="0" borderId="5" xfId="0" applyNumberFormat="1" applyFill="1" applyBorder="1"/>
    <xf numFmtId="171" fontId="0" fillId="0" borderId="0" xfId="0" applyNumberFormat="1"/>
    <xf numFmtId="2" fontId="19" fillId="18" borderId="0" xfId="0" applyNumberFormat="1" applyFont="1" applyFill="1" applyBorder="1"/>
    <xf numFmtId="164" fontId="19" fillId="18" borderId="0" xfId="1" applyNumberFormat="1" applyFont="1" applyFill="1" applyBorder="1"/>
    <xf numFmtId="164" fontId="0" fillId="0" borderId="0" xfId="1" applyNumberFormat="1" applyFont="1" applyBorder="1"/>
    <xf numFmtId="164" fontId="0" fillId="0" borderId="0" xfId="1" applyNumberFormat="1" applyFont="1" applyBorder="1" applyAlignment="1">
      <alignment horizontal="center"/>
    </xf>
    <xf numFmtId="164" fontId="0" fillId="18" borderId="5" xfId="1" applyNumberFormat="1" applyFont="1" applyFill="1" applyBorder="1"/>
    <xf numFmtId="0" fontId="0" fillId="0" borderId="5" xfId="0" applyBorder="1" applyAlignment="1">
      <alignment horizontal="center"/>
    </xf>
    <xf numFmtId="0" fontId="16" fillId="0" borderId="4" xfId="0" applyFont="1" applyBorder="1"/>
    <xf numFmtId="0" fontId="16" fillId="0" borderId="6" xfId="0" applyFont="1" applyBorder="1"/>
    <xf numFmtId="2" fontId="9" fillId="16" borderId="0" xfId="0" applyNumberFormat="1" applyFont="1" applyFill="1" applyAlignment="1">
      <alignment horizontal="center"/>
    </xf>
    <xf numFmtId="0" fontId="16" fillId="0" borderId="0" xfId="0" applyFont="1" applyAlignment="1">
      <alignment horizont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8" fillId="0" borderId="0" xfId="0" applyFont="1" applyFill="1"/>
    <xf numFmtId="2" fontId="0" fillId="0" borderId="0" xfId="0" applyNumberFormat="1" applyFill="1"/>
    <xf numFmtId="0" fontId="7" fillId="0" borderId="0" xfId="0" applyFont="1" applyFill="1"/>
    <xf numFmtId="164" fontId="0" fillId="0" borderId="0" xfId="1" applyNumberFormat="1" applyFont="1" applyFill="1"/>
    <xf numFmtId="2" fontId="2" fillId="21" borderId="0" xfId="0" applyNumberFormat="1" applyFont="1" applyFill="1"/>
    <xf numFmtId="166" fontId="21" fillId="7" borderId="0" xfId="0" applyNumberFormat="1" applyFont="1" applyFill="1"/>
    <xf numFmtId="0" fontId="20" fillId="3" borderId="0" xfId="0" applyFont="1" applyFill="1" applyAlignment="1">
      <alignment vertical="top" wrapText="1"/>
    </xf>
    <xf numFmtId="2" fontId="0" fillId="5" borderId="0" xfId="0" applyNumberFormat="1" applyFill="1"/>
    <xf numFmtId="2" fontId="0" fillId="0" borderId="0" xfId="0" applyNumberFormat="1" applyAlignment="1">
      <alignment horizontal="center" vertical="top" wrapText="1"/>
    </xf>
    <xf numFmtId="164" fontId="0" fillId="2" borderId="0" xfId="0" applyNumberFormat="1" applyFill="1"/>
    <xf numFmtId="164" fontId="0" fillId="2" borderId="0" xfId="1" applyNumberFormat="1" applyFont="1" applyFill="1"/>
    <xf numFmtId="2" fontId="0" fillId="2" borderId="0" xfId="1" applyNumberFormat="1" applyFont="1" applyFill="1"/>
    <xf numFmtId="2" fontId="2" fillId="3" borderId="0" xfId="1" applyNumberFormat="1" applyFont="1" applyFill="1"/>
    <xf numFmtId="164" fontId="0" fillId="0" borderId="0" xfId="0" applyNumberFormat="1"/>
    <xf numFmtId="2" fontId="0" fillId="0" borderId="0" xfId="0" applyNumberFormat="1"/>
    <xf numFmtId="164" fontId="2" fillId="3" borderId="0" xfId="1" applyNumberFormat="1" applyFont="1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2" fontId="0" fillId="0" borderId="0" xfId="0" applyNumberFormat="1" applyAlignment="1">
      <alignment horizontal="center" wrapText="1"/>
    </xf>
    <xf numFmtId="2" fontId="22" fillId="0" borderId="0" xfId="0" applyNumberFormat="1" applyFont="1" applyAlignment="1">
      <alignment horizontal="center"/>
    </xf>
    <xf numFmtId="0" fontId="9" fillId="22" borderId="0" xfId="0" applyFont="1" applyFill="1"/>
    <xf numFmtId="2" fontId="23" fillId="23" borderId="0" xfId="0" applyNumberFormat="1" applyFont="1" applyFill="1"/>
    <xf numFmtId="0" fontId="24" fillId="0" borderId="0" xfId="0" applyFont="1"/>
    <xf numFmtId="0" fontId="25" fillId="0" borderId="0" xfId="3"/>
  </cellXfs>
  <cellStyles count="4">
    <cellStyle name="Hyperlink" xfId="3" builtinId="8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colors>
    <mruColors>
      <color rgb="FFCAE8AA"/>
      <color rgb="FFA6D86E"/>
      <color rgb="FFFFCCFF"/>
      <color rgb="FF9BB3FF"/>
      <color rgb="FFFFFF66"/>
      <color rgb="FF99CC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Net Exports and Real Exchange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7175371712199144"/>
          <c:y val="0.17206698237405921"/>
          <c:w val="0.78663604441325108"/>
          <c:h val="0.6219383274716572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APPENDIX'!$CG$7:$CG$27</c:f>
              <c:numCache>
                <c:formatCode>0.0%</c:formatCode>
                <c:ptCount val="21"/>
                <c:pt idx="0">
                  <c:v>5.914179013873691E-2</c:v>
                </c:pt>
                <c:pt idx="1">
                  <c:v>5.1611233968892403E-2</c:v>
                </c:pt>
                <c:pt idx="2">
                  <c:v>4.4118143252629652E-2</c:v>
                </c:pt>
                <c:pt idx="3">
                  <c:v>3.6662331594656504E-2</c:v>
                </c:pt>
                <c:pt idx="4">
                  <c:v>2.9243613527021553E-2</c:v>
                </c:pt>
                <c:pt idx="5">
                  <c:v>2.1861804504499309E-2</c:v>
                </c:pt>
                <c:pt idx="6">
                  <c:v>1.4516720899999586E-2</c:v>
                </c:pt>
                <c:pt idx="7">
                  <c:v>7.2081799999996823E-3</c:v>
                </c:pt>
                <c:pt idx="8">
                  <c:v>-6.4000000000181967E-5</c:v>
                </c:pt>
                <c:pt idx="9">
                  <c:v>-7.2999999999999446E-3</c:v>
                </c:pt>
                <c:pt idx="10">
                  <c:v>-1.4499999999999791E-2</c:v>
                </c:pt>
                <c:pt idx="11">
                  <c:v>-2.1699999999999796E-2</c:v>
                </c:pt>
                <c:pt idx="12">
                  <c:v>-2.8863999999999886E-2</c:v>
                </c:pt>
                <c:pt idx="13">
                  <c:v>-3.5992179999999763E-2</c:v>
                </c:pt>
                <c:pt idx="14">
                  <c:v>-4.3084719099999863E-2</c:v>
                </c:pt>
                <c:pt idx="15">
                  <c:v>-5.0141795504499979E-2</c:v>
                </c:pt>
                <c:pt idx="16">
                  <c:v>-5.716358652697761E-2</c:v>
                </c:pt>
                <c:pt idx="17">
                  <c:v>-6.4150268594342474E-2</c:v>
                </c:pt>
                <c:pt idx="18">
                  <c:v>-7.1102017251370914E-2</c:v>
                </c:pt>
                <c:pt idx="19">
                  <c:v>-7.8019007165114104E-2</c:v>
                </c:pt>
                <c:pt idx="20">
                  <c:v>-8.4901412129288464E-2</c:v>
                </c:pt>
              </c:numCache>
            </c:numRef>
          </c:xVal>
          <c:yVal>
            <c:numRef>
              <c:f>'OPTIONAL FULL MODEL APPENDIX'!$CE$7:$CE$27</c:f>
              <c:numCache>
                <c:formatCode>0.0</c:formatCode>
                <c:ptCount val="21"/>
                <c:pt idx="0">
                  <c:v>105.11401320407893</c:v>
                </c:pt>
                <c:pt idx="1">
                  <c:v>104.59105791450641</c:v>
                </c:pt>
                <c:pt idx="2">
                  <c:v>104.0707043925437</c:v>
                </c:pt>
                <c:pt idx="3">
                  <c:v>103.55293969407334</c:v>
                </c:pt>
                <c:pt idx="4">
                  <c:v>103.03775093937648</c:v>
                </c:pt>
                <c:pt idx="5">
                  <c:v>102.52512531281243</c:v>
                </c:pt>
                <c:pt idx="6">
                  <c:v>102.01505006249995</c:v>
                </c:pt>
                <c:pt idx="7">
                  <c:v>101.50751249999996</c:v>
                </c:pt>
                <c:pt idx="8">
                  <c:v>101.00249999999997</c:v>
                </c:pt>
                <c:pt idx="9">
                  <c:v>100.49999999999999</c:v>
                </c:pt>
                <c:pt idx="10">
                  <c:v>100</c:v>
                </c:pt>
                <c:pt idx="11">
                  <c:v>99.5</c:v>
                </c:pt>
                <c:pt idx="12">
                  <c:v>99.002499999999998</c:v>
                </c:pt>
                <c:pt idx="13">
                  <c:v>98.507487499999996</c:v>
                </c:pt>
                <c:pt idx="14">
                  <c:v>98.014950062499992</c:v>
                </c:pt>
                <c:pt idx="15">
                  <c:v>97.52487531218749</c:v>
                </c:pt>
                <c:pt idx="16">
                  <c:v>97.037250935626545</c:v>
                </c:pt>
                <c:pt idx="17">
                  <c:v>96.552064680948419</c:v>
                </c:pt>
                <c:pt idx="18">
                  <c:v>96.069304357543672</c:v>
                </c:pt>
                <c:pt idx="19">
                  <c:v>95.588957835755949</c:v>
                </c:pt>
                <c:pt idx="20">
                  <c:v>95.11101304657717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2D-4DDE-BB38-5893937C8DDC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APPENDIX'!$CI$7:$CI$27</c:f>
              <c:numCache>
                <c:formatCode>0.0%</c:formatCode>
                <c:ptCount val="21"/>
                <c:pt idx="0">
                  <c:v>5.914179013873691E-2</c:v>
                </c:pt>
                <c:pt idx="1">
                  <c:v>5.1611233968892403E-2</c:v>
                </c:pt>
                <c:pt idx="2">
                  <c:v>4.4118143252629652E-2</c:v>
                </c:pt>
                <c:pt idx="3">
                  <c:v>3.6662331594656504E-2</c:v>
                </c:pt>
                <c:pt idx="4">
                  <c:v>2.9243613527021553E-2</c:v>
                </c:pt>
                <c:pt idx="5">
                  <c:v>2.1861804504499309E-2</c:v>
                </c:pt>
                <c:pt idx="6">
                  <c:v>1.4516720899999586E-2</c:v>
                </c:pt>
                <c:pt idx="7">
                  <c:v>7.2081799999996823E-3</c:v>
                </c:pt>
                <c:pt idx="8">
                  <c:v>-6.4000000000181967E-5</c:v>
                </c:pt>
                <c:pt idx="9">
                  <c:v>-7.2999999999999446E-3</c:v>
                </c:pt>
                <c:pt idx="10">
                  <c:v>-1.4499999999999791E-2</c:v>
                </c:pt>
                <c:pt idx="11">
                  <c:v>-2.1699999999999796E-2</c:v>
                </c:pt>
                <c:pt idx="12">
                  <c:v>-2.8863999999999886E-2</c:v>
                </c:pt>
                <c:pt idx="13">
                  <c:v>-3.5992179999999763E-2</c:v>
                </c:pt>
                <c:pt idx="14">
                  <c:v>-4.3084719099999863E-2</c:v>
                </c:pt>
                <c:pt idx="15">
                  <c:v>-5.0141795504499979E-2</c:v>
                </c:pt>
                <c:pt idx="16">
                  <c:v>-5.716358652697761E-2</c:v>
                </c:pt>
                <c:pt idx="17">
                  <c:v>-6.4150268594342474E-2</c:v>
                </c:pt>
                <c:pt idx="18">
                  <c:v>-7.1102017251370914E-2</c:v>
                </c:pt>
                <c:pt idx="19">
                  <c:v>-7.8019007165114104E-2</c:v>
                </c:pt>
                <c:pt idx="20">
                  <c:v>-8.4901412129288464E-2</c:v>
                </c:pt>
              </c:numCache>
            </c:numRef>
          </c:xVal>
          <c:yVal>
            <c:numRef>
              <c:f>'OPTIONAL FULL MODEL APPENDIX'!$CE$7:$CE$27</c:f>
              <c:numCache>
                <c:formatCode>0.0</c:formatCode>
                <c:ptCount val="21"/>
                <c:pt idx="0">
                  <c:v>105.11401320407893</c:v>
                </c:pt>
                <c:pt idx="1">
                  <c:v>104.59105791450641</c:v>
                </c:pt>
                <c:pt idx="2">
                  <c:v>104.0707043925437</c:v>
                </c:pt>
                <c:pt idx="3">
                  <c:v>103.55293969407334</c:v>
                </c:pt>
                <c:pt idx="4">
                  <c:v>103.03775093937648</c:v>
                </c:pt>
                <c:pt idx="5">
                  <c:v>102.52512531281243</c:v>
                </c:pt>
                <c:pt idx="6">
                  <c:v>102.01505006249995</c:v>
                </c:pt>
                <c:pt idx="7">
                  <c:v>101.50751249999996</c:v>
                </c:pt>
                <c:pt idx="8">
                  <c:v>101.00249999999997</c:v>
                </c:pt>
                <c:pt idx="9">
                  <c:v>100.49999999999999</c:v>
                </c:pt>
                <c:pt idx="10">
                  <c:v>100</c:v>
                </c:pt>
                <c:pt idx="11">
                  <c:v>99.5</c:v>
                </c:pt>
                <c:pt idx="12">
                  <c:v>99.002499999999998</c:v>
                </c:pt>
                <c:pt idx="13">
                  <c:v>98.507487499999996</c:v>
                </c:pt>
                <c:pt idx="14">
                  <c:v>98.014950062499992</c:v>
                </c:pt>
                <c:pt idx="15">
                  <c:v>97.52487531218749</c:v>
                </c:pt>
                <c:pt idx="16">
                  <c:v>97.037250935626545</c:v>
                </c:pt>
                <c:pt idx="17">
                  <c:v>96.552064680948419</c:v>
                </c:pt>
                <c:pt idx="18">
                  <c:v>96.069304357543672</c:v>
                </c:pt>
                <c:pt idx="19">
                  <c:v>95.588957835755949</c:v>
                </c:pt>
                <c:pt idx="20">
                  <c:v>95.11101304657717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2D-4DDE-BB38-5893937C8DDC}"/>
            </c:ext>
          </c:extLst>
        </c:ser>
        <c:ser>
          <c:idx val="2"/>
          <c:order val="2"/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'OPTIONAL FULL MODEL APPENDIX'!$CK$7:$CK$27</c:f>
              <c:numCache>
                <c:formatCode>0.0%</c:formatCode>
                <c:ptCount val="21"/>
                <c:pt idx="0">
                  <c:v>5.914179013873691E-2</c:v>
                </c:pt>
                <c:pt idx="1">
                  <c:v>5.1611233968892403E-2</c:v>
                </c:pt>
                <c:pt idx="2">
                  <c:v>4.4118143252629652E-2</c:v>
                </c:pt>
                <c:pt idx="3">
                  <c:v>3.6662331594656504E-2</c:v>
                </c:pt>
                <c:pt idx="4">
                  <c:v>2.9243613527021553E-2</c:v>
                </c:pt>
                <c:pt idx="5">
                  <c:v>2.1861804504499309E-2</c:v>
                </c:pt>
                <c:pt idx="6">
                  <c:v>1.4516720899999586E-2</c:v>
                </c:pt>
                <c:pt idx="7">
                  <c:v>7.2081799999996823E-3</c:v>
                </c:pt>
                <c:pt idx="8">
                  <c:v>-6.4000000000181967E-5</c:v>
                </c:pt>
                <c:pt idx="9">
                  <c:v>-7.2999999999999446E-3</c:v>
                </c:pt>
                <c:pt idx="10">
                  <c:v>-1.4499999999999791E-2</c:v>
                </c:pt>
                <c:pt idx="11">
                  <c:v>-2.1699999999999796E-2</c:v>
                </c:pt>
                <c:pt idx="12">
                  <c:v>-2.8863999999999886E-2</c:v>
                </c:pt>
                <c:pt idx="13">
                  <c:v>-3.5992179999999763E-2</c:v>
                </c:pt>
                <c:pt idx="14">
                  <c:v>-4.3084719099999863E-2</c:v>
                </c:pt>
                <c:pt idx="15">
                  <c:v>-5.0141795504499979E-2</c:v>
                </c:pt>
                <c:pt idx="16">
                  <c:v>-5.716358652697761E-2</c:v>
                </c:pt>
                <c:pt idx="17">
                  <c:v>-6.4150268594342474E-2</c:v>
                </c:pt>
                <c:pt idx="18">
                  <c:v>-7.1102017251370914E-2</c:v>
                </c:pt>
                <c:pt idx="19">
                  <c:v>-7.8019007165114104E-2</c:v>
                </c:pt>
                <c:pt idx="20">
                  <c:v>-8.4901412129288464E-2</c:v>
                </c:pt>
              </c:numCache>
            </c:numRef>
          </c:xVal>
          <c:yVal>
            <c:numRef>
              <c:f>'OPTIONAL FULL MODEL APPENDIX'!$CE$7:$CE$27</c:f>
              <c:numCache>
                <c:formatCode>0.0</c:formatCode>
                <c:ptCount val="21"/>
                <c:pt idx="0">
                  <c:v>105.11401320407893</c:v>
                </c:pt>
                <c:pt idx="1">
                  <c:v>104.59105791450641</c:v>
                </c:pt>
                <c:pt idx="2">
                  <c:v>104.0707043925437</c:v>
                </c:pt>
                <c:pt idx="3">
                  <c:v>103.55293969407334</c:v>
                </c:pt>
                <c:pt idx="4">
                  <c:v>103.03775093937648</c:v>
                </c:pt>
                <c:pt idx="5">
                  <c:v>102.52512531281243</c:v>
                </c:pt>
                <c:pt idx="6">
                  <c:v>102.01505006249995</c:v>
                </c:pt>
                <c:pt idx="7">
                  <c:v>101.50751249999996</c:v>
                </c:pt>
                <c:pt idx="8">
                  <c:v>101.00249999999997</c:v>
                </c:pt>
                <c:pt idx="9">
                  <c:v>100.49999999999999</c:v>
                </c:pt>
                <c:pt idx="10">
                  <c:v>100</c:v>
                </c:pt>
                <c:pt idx="11">
                  <c:v>99.5</c:v>
                </c:pt>
                <c:pt idx="12">
                  <c:v>99.002499999999998</c:v>
                </c:pt>
                <c:pt idx="13">
                  <c:v>98.507487499999996</c:v>
                </c:pt>
                <c:pt idx="14">
                  <c:v>98.014950062499992</c:v>
                </c:pt>
                <c:pt idx="15">
                  <c:v>97.52487531218749</c:v>
                </c:pt>
                <c:pt idx="16">
                  <c:v>97.037250935626545</c:v>
                </c:pt>
                <c:pt idx="17">
                  <c:v>96.552064680948419</c:v>
                </c:pt>
                <c:pt idx="18">
                  <c:v>96.069304357543672</c:v>
                </c:pt>
                <c:pt idx="19">
                  <c:v>95.588957835755949</c:v>
                </c:pt>
                <c:pt idx="20">
                  <c:v>95.11101304657717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2D-4DDE-BB38-5893937C8DDC}"/>
            </c:ext>
          </c:extLst>
        </c:ser>
        <c:ser>
          <c:idx val="3"/>
          <c:order val="3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APPENDIX'!$CG$33:$CG$34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APPENDIX'!$CH$33:$CH$34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D2D-4DDE-BB38-5893937C8DDC}"/>
            </c:ext>
          </c:extLst>
        </c:ser>
        <c:ser>
          <c:idx val="4"/>
          <c:order val="4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APPENDIX'!$CI$33:$CI$34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APPENDIX'!$CJ$33:$CJ$34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D2D-4DDE-BB38-5893937C8DDC}"/>
            </c:ext>
          </c:extLst>
        </c:ser>
        <c:ser>
          <c:idx val="5"/>
          <c:order val="5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APPENDIX'!$CG$42:$CG$43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APPENDIX'!$CH$42:$CH$43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D2D-4DDE-BB38-5893937C8DDC}"/>
            </c:ext>
          </c:extLst>
        </c:ser>
        <c:ser>
          <c:idx val="6"/>
          <c:order val="6"/>
          <c:spPr>
            <a:ln w="12700">
              <a:solidFill>
                <a:prstClr val="black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APPENDIX'!$CI$42:$CI$43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APPENDIX'!$CJ$42:$CJ$43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D2D-4DDE-BB38-5893937C8DDC}"/>
            </c:ext>
          </c:extLst>
        </c:ser>
        <c:ser>
          <c:idx val="7"/>
          <c:order val="7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APPENDIX'!$CG$52:$CG$53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APPENDIX'!$CH$52:$CH$53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D2D-4DDE-BB38-5893937C8DDC}"/>
            </c:ext>
          </c:extLst>
        </c:ser>
        <c:ser>
          <c:idx val="8"/>
          <c:order val="8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APPENDIX'!$CI$52:$CI$53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APPENDIX'!$CJ$52:$CJ$53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D2D-4DDE-BB38-5893937C8DDC}"/>
            </c:ext>
          </c:extLst>
        </c:ser>
        <c:ser>
          <c:idx val="9"/>
          <c:order val="9"/>
          <c:tx>
            <c:strRef>
              <c:f>'OPTIONAL FULL MODEL APPENDIX'!$CG$31</c:f>
              <c:strCache>
                <c:ptCount val="1"/>
                <c:pt idx="0">
                  <c:v>base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2D-4DDE-BB38-5893937C8DDC}"/>
                </c:ext>
              </c:extLst>
            </c:dLbl>
            <c:dLbl>
              <c:idx val="1"/>
              <c:layout>
                <c:manualLayout>
                  <c:x val="-1.3949161347862428E-2"/>
                  <c:y val="4.639174504558080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2D-4DDE-BB38-5893937C8D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APPENDIX'!$CG$36:$CG$37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APPENDIX'!$CH$36:$CH$37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D2D-4DDE-BB38-5893937C8DDC}"/>
            </c:ext>
          </c:extLst>
        </c:ser>
        <c:ser>
          <c:idx val="10"/>
          <c:order val="10"/>
          <c:tx>
            <c:strRef>
              <c:f>'OPTIONAL FULL MODEL APPENDIX'!$CG$40</c:f>
              <c:strCache>
                <c:ptCount val="1"/>
                <c:pt idx="0">
                  <c:v>(i)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2D-4DDE-BB38-5893937C8D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APPENDIX'!$CG$45:$CG$46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APPENDIX'!$CH$45:$CH$46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D2D-4DDE-BB38-5893937C8DDC}"/>
            </c:ext>
          </c:extLst>
        </c:ser>
        <c:ser>
          <c:idx val="11"/>
          <c:order val="11"/>
          <c:tx>
            <c:strRef>
              <c:f>'OPTIONAL FULL MODEL APPENDIX'!$CG$50</c:f>
              <c:strCache>
                <c:ptCount val="1"/>
                <c:pt idx="0">
                  <c:v>(ii)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2D-4DDE-BB38-5893937C8DD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2D-4DDE-BB38-5893937C8D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APPENDIX'!$CG$55:$CG$56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APPENDIX'!$CH$55:$CH$56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2D2D-4DDE-BB38-5893937C8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737104"/>
        <c:axId val="706737496"/>
      </c:scatterChart>
      <c:valAx>
        <c:axId val="706737104"/>
        <c:scaling>
          <c:orientation val="minMax"/>
          <c:max val="5.000000000000001E-2"/>
          <c:min val="-3.0000000000000006E-2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Net exports (in percent of potential</a:t>
                </a:r>
                <a:r>
                  <a:rPr lang="en-US" b="0" baseline="0"/>
                  <a:t> output)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26931171364306933"/>
              <c:y val="0.88770844250717507"/>
            </c:manualLayout>
          </c:layout>
          <c:overlay val="0"/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37496"/>
        <c:crosses val="autoZero"/>
        <c:crossBetween val="midCat"/>
      </c:valAx>
      <c:valAx>
        <c:axId val="706737496"/>
        <c:scaling>
          <c:orientation val="minMax"/>
          <c:max val="104"/>
          <c:min val="9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800" b="0"/>
                </a:pPr>
                <a:r>
                  <a:rPr lang="en-US" sz="800" b="0"/>
                  <a:t>Real exchange rate index </a:t>
                </a:r>
              </a:p>
              <a:p>
                <a:pPr>
                  <a:defRPr sz="800" b="0"/>
                </a:pPr>
                <a:r>
                  <a:rPr lang="en-US" sz="800" b="0"/>
                  <a:t>(app -, base=100)</a:t>
                </a:r>
              </a:p>
            </c:rich>
          </c:tx>
          <c:layout>
            <c:manualLayout>
              <c:xMode val="edge"/>
              <c:yMode val="edge"/>
              <c:x val="3.361261807752884E-3"/>
              <c:y val="0.26151886697507193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37104"/>
        <c:crossesAt val="-7.0000000000000021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Phillips Curve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APPENDIX'!$BX$7:$BX$27</c:f>
              <c:numCache>
                <c:formatCode>0.0%</c:formatCode>
                <c:ptCount val="21"/>
                <c:pt idx="0">
                  <c:v>5.5E-2</c:v>
                </c:pt>
                <c:pt idx="1">
                  <c:v>5.3999999999999999E-2</c:v>
                </c:pt>
                <c:pt idx="2">
                  <c:v>5.2999999999999999E-2</c:v>
                </c:pt>
                <c:pt idx="3">
                  <c:v>5.1999999999999998E-2</c:v>
                </c:pt>
                <c:pt idx="4">
                  <c:v>5.0999999999999997E-2</c:v>
                </c:pt>
                <c:pt idx="5">
                  <c:v>0.05</c:v>
                </c:pt>
                <c:pt idx="6">
                  <c:v>4.9000000000000002E-2</c:v>
                </c:pt>
                <c:pt idx="7">
                  <c:v>4.8000000000000001E-2</c:v>
                </c:pt>
                <c:pt idx="8">
                  <c:v>4.7E-2</c:v>
                </c:pt>
                <c:pt idx="9">
                  <c:v>4.5999999999999999E-2</c:v>
                </c:pt>
                <c:pt idx="10">
                  <c:v>4.4999999999999998E-2</c:v>
                </c:pt>
                <c:pt idx="11">
                  <c:v>4.3999999999999997E-2</c:v>
                </c:pt>
                <c:pt idx="12">
                  <c:v>4.2999999999999997E-2</c:v>
                </c:pt>
                <c:pt idx="13">
                  <c:v>4.1999999999999996E-2</c:v>
                </c:pt>
                <c:pt idx="14">
                  <c:v>4.0999999999999995E-2</c:v>
                </c:pt>
                <c:pt idx="15">
                  <c:v>3.9999999999999994E-2</c:v>
                </c:pt>
                <c:pt idx="16">
                  <c:v>3.9E-2</c:v>
                </c:pt>
                <c:pt idx="17">
                  <c:v>3.7999999999999999E-2</c:v>
                </c:pt>
                <c:pt idx="18">
                  <c:v>3.6999999999999998E-2</c:v>
                </c:pt>
                <c:pt idx="19">
                  <c:v>3.5999999999999997E-2</c:v>
                </c:pt>
                <c:pt idx="20">
                  <c:v>3.4999999999999996E-2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E9-4DF0-84FD-41972DFDAC5A}"/>
            </c:ext>
          </c:extLst>
        </c:ser>
        <c:ser>
          <c:idx val="1"/>
          <c:order val="1"/>
          <c:spPr>
            <a:ln w="1905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APPENDIX'!$BZ$7:$BZ$27</c:f>
              <c:numCache>
                <c:formatCode>0.0%</c:formatCode>
                <c:ptCount val="21"/>
                <c:pt idx="0">
                  <c:v>5.5E-2</c:v>
                </c:pt>
                <c:pt idx="1">
                  <c:v>5.3999999999999999E-2</c:v>
                </c:pt>
                <c:pt idx="2">
                  <c:v>5.2999999999999999E-2</c:v>
                </c:pt>
                <c:pt idx="3">
                  <c:v>5.1999999999999998E-2</c:v>
                </c:pt>
                <c:pt idx="4">
                  <c:v>5.0999999999999997E-2</c:v>
                </c:pt>
                <c:pt idx="5">
                  <c:v>0.05</c:v>
                </c:pt>
                <c:pt idx="6">
                  <c:v>4.9000000000000002E-2</c:v>
                </c:pt>
                <c:pt idx="7">
                  <c:v>4.8000000000000001E-2</c:v>
                </c:pt>
                <c:pt idx="8">
                  <c:v>4.7E-2</c:v>
                </c:pt>
                <c:pt idx="9">
                  <c:v>4.5999999999999999E-2</c:v>
                </c:pt>
                <c:pt idx="10">
                  <c:v>4.4999999999999998E-2</c:v>
                </c:pt>
                <c:pt idx="11">
                  <c:v>4.3999999999999997E-2</c:v>
                </c:pt>
                <c:pt idx="12">
                  <c:v>4.2999999999999997E-2</c:v>
                </c:pt>
                <c:pt idx="13">
                  <c:v>4.1999999999999996E-2</c:v>
                </c:pt>
                <c:pt idx="14">
                  <c:v>4.0999999999999995E-2</c:v>
                </c:pt>
                <c:pt idx="15">
                  <c:v>3.9999999999999994E-2</c:v>
                </c:pt>
                <c:pt idx="16">
                  <c:v>3.9E-2</c:v>
                </c:pt>
                <c:pt idx="17">
                  <c:v>3.7999999999999999E-2</c:v>
                </c:pt>
                <c:pt idx="18">
                  <c:v>3.6999999999999998E-2</c:v>
                </c:pt>
                <c:pt idx="19">
                  <c:v>3.5999999999999997E-2</c:v>
                </c:pt>
                <c:pt idx="20">
                  <c:v>3.4999999999999996E-2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E9-4DF0-84FD-41972DFDAC5A}"/>
            </c:ext>
          </c:extLst>
        </c:ser>
        <c:ser>
          <c:idx val="2"/>
          <c:order val="2"/>
          <c:spPr>
            <a:ln w="19050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APPENDIX'!$CB$7:$CB$27</c:f>
              <c:numCache>
                <c:formatCode>0.0%</c:formatCode>
                <c:ptCount val="21"/>
                <c:pt idx="0">
                  <c:v>5.5E-2</c:v>
                </c:pt>
                <c:pt idx="1">
                  <c:v>5.3999999999999999E-2</c:v>
                </c:pt>
                <c:pt idx="2">
                  <c:v>5.2999999999999999E-2</c:v>
                </c:pt>
                <c:pt idx="3">
                  <c:v>5.1999999999999998E-2</c:v>
                </c:pt>
                <c:pt idx="4">
                  <c:v>5.0999999999999997E-2</c:v>
                </c:pt>
                <c:pt idx="5">
                  <c:v>0.05</c:v>
                </c:pt>
                <c:pt idx="6">
                  <c:v>4.9000000000000002E-2</c:v>
                </c:pt>
                <c:pt idx="7">
                  <c:v>4.8000000000000001E-2</c:v>
                </c:pt>
                <c:pt idx="8">
                  <c:v>4.7E-2</c:v>
                </c:pt>
                <c:pt idx="9">
                  <c:v>4.5999999999999999E-2</c:v>
                </c:pt>
                <c:pt idx="10">
                  <c:v>4.4999999999999998E-2</c:v>
                </c:pt>
                <c:pt idx="11">
                  <c:v>4.3999999999999997E-2</c:v>
                </c:pt>
                <c:pt idx="12">
                  <c:v>4.2999999999999997E-2</c:v>
                </c:pt>
                <c:pt idx="13">
                  <c:v>4.1999999999999996E-2</c:v>
                </c:pt>
                <c:pt idx="14">
                  <c:v>4.0999999999999995E-2</c:v>
                </c:pt>
                <c:pt idx="15">
                  <c:v>3.9999999999999994E-2</c:v>
                </c:pt>
                <c:pt idx="16">
                  <c:v>3.9E-2</c:v>
                </c:pt>
                <c:pt idx="17">
                  <c:v>3.7999999999999999E-2</c:v>
                </c:pt>
                <c:pt idx="18">
                  <c:v>3.6999999999999998E-2</c:v>
                </c:pt>
                <c:pt idx="19">
                  <c:v>3.5999999999999997E-2</c:v>
                </c:pt>
                <c:pt idx="20">
                  <c:v>3.4999999999999996E-2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2E9-4DF0-84FD-41972DFDAC5A}"/>
            </c:ext>
          </c:extLst>
        </c:ser>
        <c:ser>
          <c:idx val="3"/>
          <c:order val="3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APPENDIX'!$BY$33:$BY$34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APPENDIX'!$BZ$33:$BZ$34</c:f>
              <c:numCache>
                <c:formatCode>0.0%</c:formatCode>
                <c:ptCount val="2"/>
                <c:pt idx="0">
                  <c:v>-0.1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E9-4DF0-84FD-41972DFDAC5A}"/>
            </c:ext>
          </c:extLst>
        </c:ser>
        <c:ser>
          <c:idx val="4"/>
          <c:order val="4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APPENDIX'!$BY$37:$BY$38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APPENDIX'!$BZ$37:$BZ$38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E9-4DF0-84FD-41972DFDAC5A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1"/>
            <c:bubble3D val="0"/>
            <c:spPr>
              <a:ln w="12700" cap="rnd">
                <a:solidFill>
                  <a:schemeClr val="tx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2E9-4DF0-84FD-41972DFDAC5A}"/>
              </c:ext>
            </c:extLst>
          </c:dPt>
          <c:xVal>
            <c:numRef>
              <c:f>'OPTIONAL FULL MODEL APPENDIX'!$BY$42:$BY$43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APPENDIX'!$BZ$42:$BZ$43</c:f>
              <c:numCache>
                <c:formatCode>0.0%</c:formatCode>
                <c:ptCount val="2"/>
                <c:pt idx="0">
                  <c:v>-0.1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2E9-4DF0-84FD-41972DFDAC5A}"/>
            </c:ext>
          </c:extLst>
        </c:ser>
        <c:ser>
          <c:idx val="6"/>
          <c:order val="6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APPENDIX'!$BY$46:$BY$47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APPENDIX'!$BZ$46:$BZ$47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2E9-4DF0-84FD-41972DFDAC5A}"/>
            </c:ext>
          </c:extLst>
        </c:ser>
        <c:ser>
          <c:idx val="7"/>
          <c:order val="7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APPENDIX'!$BY$51:$BY$52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APPENDIX'!$BZ$51:$BZ$52</c:f>
              <c:numCache>
                <c:formatCode>0.0%</c:formatCode>
                <c:ptCount val="2"/>
                <c:pt idx="0">
                  <c:v>-0.1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2E9-4DF0-84FD-41972DFDAC5A}"/>
            </c:ext>
          </c:extLst>
        </c:ser>
        <c:ser>
          <c:idx val="8"/>
          <c:order val="8"/>
          <c:spPr>
            <a:ln w="12700" cap="rnd">
              <a:solidFill>
                <a:schemeClr val="accent3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APPENDIX'!$BY$55:$BY$56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APPENDIX'!$BZ$55:$BZ$56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2E9-4DF0-84FD-41972DFDAC5A}"/>
            </c:ext>
          </c:extLst>
        </c:ser>
        <c:ser>
          <c:idx val="9"/>
          <c:order val="9"/>
          <c:tx>
            <c:strRef>
              <c:f>'OPTIONAL FULL MODEL APPENDIX'!$CA$31</c:f>
              <c:strCache>
                <c:ptCount val="1"/>
                <c:pt idx="0">
                  <c:v>base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E9-4DF0-84FD-41972DFDAC5A}"/>
                </c:ext>
              </c:extLst>
            </c:dLbl>
            <c:dLbl>
              <c:idx val="1"/>
              <c:layout>
                <c:manualLayout>
                  <c:x val="-2.5000000000000112E-2"/>
                  <c:y val="4.499437570303713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E9-4DF0-84FD-41972DFDA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APPENDIX'!$CA$33:$CA$34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APPENDIX'!$CB$33:$CB$34</c:f>
              <c:numCache>
                <c:formatCode>0.00%</c:formatCode>
                <c:ptCount val="2"/>
                <c:pt idx="0" formatCode="0.0%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2E9-4DF0-84FD-41972DFDAC5A}"/>
            </c:ext>
          </c:extLst>
        </c:ser>
        <c:ser>
          <c:idx val="10"/>
          <c:order val="10"/>
          <c:tx>
            <c:strRef>
              <c:f>'OPTIONAL FULL MODEL APPENDIX'!$CA$40</c:f>
              <c:strCache>
                <c:ptCount val="1"/>
                <c:pt idx="0">
                  <c:v>(i)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E9-4DF0-84FD-41972DFDAC5A}"/>
                </c:ext>
              </c:extLst>
            </c:dLbl>
            <c:dLbl>
              <c:idx val="1"/>
              <c:layout>
                <c:manualLayout>
                  <c:x val="-1.9444444444444545E-2"/>
                  <c:y val="1.79976690061324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E9-4DF0-84FD-41972DFDA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APPENDIX'!$CA$42:$CA$43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APPENDIX'!$CB$42:$CB$43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32E9-4DF0-84FD-41972DFDAC5A}"/>
            </c:ext>
          </c:extLst>
        </c:ser>
        <c:ser>
          <c:idx val="11"/>
          <c:order val="11"/>
          <c:tx>
            <c:strRef>
              <c:f>'OPTIONAL FULL MODEL APPENDIX'!$CA$49</c:f>
              <c:strCache>
                <c:ptCount val="1"/>
                <c:pt idx="0">
                  <c:v>(ii)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E9-4DF0-84FD-41972DFDAC5A}"/>
                </c:ext>
              </c:extLst>
            </c:dLbl>
            <c:dLbl>
              <c:idx val="1"/>
              <c:layout>
                <c:manualLayout>
                  <c:x val="-4.1666666666666782E-2"/>
                  <c:y val="-5.161662775625505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E9-4DF0-84FD-41972DFDA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APPENDIX'!$CA$51:$CA$52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APPENDIX'!$CB$51:$CB$52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32E9-4DF0-84FD-41972DFDA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746904"/>
        <c:axId val="706747296"/>
      </c:scatterChart>
      <c:valAx>
        <c:axId val="706746904"/>
        <c:scaling>
          <c:orientation val="minMax"/>
          <c:max val="5.0000000000000024E-2"/>
          <c:min val="-5.0000000000000024E-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Output gap (in percent)</a:t>
                </a:r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47296"/>
        <c:crossesAt val="-6.0000000000000032E-2"/>
        <c:crossBetween val="midCat"/>
      </c:valAx>
      <c:valAx>
        <c:axId val="706747296"/>
        <c:scaling>
          <c:orientation val="minMax"/>
          <c:max val="0.12000000000000001"/>
          <c:min val="1.0000000000000002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Inflation rate (in percent)</a:t>
                </a:r>
              </a:p>
            </c:rich>
          </c:tx>
          <c:overlay val="0"/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46904"/>
        <c:crossesAt val="-6.0000000000000032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Net Exports and Real Exchange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7175371712199144"/>
          <c:y val="0.17206698237405921"/>
          <c:w val="0.78663604441325108"/>
          <c:h val="0.6219383274716572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APPENDIX'!$CG$7:$CG$27</c:f>
              <c:numCache>
                <c:formatCode>0.0%</c:formatCode>
                <c:ptCount val="21"/>
                <c:pt idx="0">
                  <c:v>5.914179013873691E-2</c:v>
                </c:pt>
                <c:pt idx="1">
                  <c:v>5.1611233968892403E-2</c:v>
                </c:pt>
                <c:pt idx="2">
                  <c:v>4.4118143252629652E-2</c:v>
                </c:pt>
                <c:pt idx="3">
                  <c:v>3.6662331594656504E-2</c:v>
                </c:pt>
                <c:pt idx="4">
                  <c:v>2.9243613527021553E-2</c:v>
                </c:pt>
                <c:pt idx="5">
                  <c:v>2.1861804504499309E-2</c:v>
                </c:pt>
                <c:pt idx="6">
                  <c:v>1.4516720899999586E-2</c:v>
                </c:pt>
                <c:pt idx="7">
                  <c:v>7.2081799999996823E-3</c:v>
                </c:pt>
                <c:pt idx="8">
                  <c:v>-6.4000000000181967E-5</c:v>
                </c:pt>
                <c:pt idx="9">
                  <c:v>-7.2999999999999446E-3</c:v>
                </c:pt>
                <c:pt idx="10">
                  <c:v>-1.4499999999999791E-2</c:v>
                </c:pt>
                <c:pt idx="11">
                  <c:v>-2.1699999999999796E-2</c:v>
                </c:pt>
                <c:pt idx="12">
                  <c:v>-2.8863999999999886E-2</c:v>
                </c:pt>
                <c:pt idx="13">
                  <c:v>-3.5992179999999763E-2</c:v>
                </c:pt>
                <c:pt idx="14">
                  <c:v>-4.3084719099999863E-2</c:v>
                </c:pt>
                <c:pt idx="15">
                  <c:v>-5.0141795504499979E-2</c:v>
                </c:pt>
                <c:pt idx="16">
                  <c:v>-5.716358652697761E-2</c:v>
                </c:pt>
                <c:pt idx="17">
                  <c:v>-6.4150268594342474E-2</c:v>
                </c:pt>
                <c:pt idx="18">
                  <c:v>-7.1102017251370914E-2</c:v>
                </c:pt>
                <c:pt idx="19">
                  <c:v>-7.8019007165114104E-2</c:v>
                </c:pt>
                <c:pt idx="20">
                  <c:v>-8.4901412129288464E-2</c:v>
                </c:pt>
              </c:numCache>
            </c:numRef>
          </c:xVal>
          <c:yVal>
            <c:numRef>
              <c:f>'OPTIONAL FULL MODEL APPENDIX'!$CE$7:$CE$27</c:f>
              <c:numCache>
                <c:formatCode>0.0</c:formatCode>
                <c:ptCount val="21"/>
                <c:pt idx="0">
                  <c:v>105.11401320407893</c:v>
                </c:pt>
                <c:pt idx="1">
                  <c:v>104.59105791450641</c:v>
                </c:pt>
                <c:pt idx="2">
                  <c:v>104.0707043925437</c:v>
                </c:pt>
                <c:pt idx="3">
                  <c:v>103.55293969407334</c:v>
                </c:pt>
                <c:pt idx="4">
                  <c:v>103.03775093937648</c:v>
                </c:pt>
                <c:pt idx="5">
                  <c:v>102.52512531281243</c:v>
                </c:pt>
                <c:pt idx="6">
                  <c:v>102.01505006249995</c:v>
                </c:pt>
                <c:pt idx="7">
                  <c:v>101.50751249999996</c:v>
                </c:pt>
                <c:pt idx="8">
                  <c:v>101.00249999999997</c:v>
                </c:pt>
                <c:pt idx="9">
                  <c:v>100.49999999999999</c:v>
                </c:pt>
                <c:pt idx="10">
                  <c:v>100</c:v>
                </c:pt>
                <c:pt idx="11">
                  <c:v>99.5</c:v>
                </c:pt>
                <c:pt idx="12">
                  <c:v>99.002499999999998</c:v>
                </c:pt>
                <c:pt idx="13">
                  <c:v>98.507487499999996</c:v>
                </c:pt>
                <c:pt idx="14">
                  <c:v>98.014950062499992</c:v>
                </c:pt>
                <c:pt idx="15">
                  <c:v>97.52487531218749</c:v>
                </c:pt>
                <c:pt idx="16">
                  <c:v>97.037250935626545</c:v>
                </c:pt>
                <c:pt idx="17">
                  <c:v>96.552064680948419</c:v>
                </c:pt>
                <c:pt idx="18">
                  <c:v>96.069304357543672</c:v>
                </c:pt>
                <c:pt idx="19">
                  <c:v>95.588957835755949</c:v>
                </c:pt>
                <c:pt idx="20">
                  <c:v>95.11101304657717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D9-4D22-8503-6AD713BBECC5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APPENDIX'!$CI$7:$CI$27</c:f>
              <c:numCache>
                <c:formatCode>0.0%</c:formatCode>
                <c:ptCount val="21"/>
                <c:pt idx="0">
                  <c:v>5.914179013873691E-2</c:v>
                </c:pt>
                <c:pt idx="1">
                  <c:v>5.1611233968892403E-2</c:v>
                </c:pt>
                <c:pt idx="2">
                  <c:v>4.4118143252629652E-2</c:v>
                </c:pt>
                <c:pt idx="3">
                  <c:v>3.6662331594656504E-2</c:v>
                </c:pt>
                <c:pt idx="4">
                  <c:v>2.9243613527021553E-2</c:v>
                </c:pt>
                <c:pt idx="5">
                  <c:v>2.1861804504499309E-2</c:v>
                </c:pt>
                <c:pt idx="6">
                  <c:v>1.4516720899999586E-2</c:v>
                </c:pt>
                <c:pt idx="7">
                  <c:v>7.2081799999996823E-3</c:v>
                </c:pt>
                <c:pt idx="8">
                  <c:v>-6.4000000000181967E-5</c:v>
                </c:pt>
                <c:pt idx="9">
                  <c:v>-7.2999999999999446E-3</c:v>
                </c:pt>
                <c:pt idx="10">
                  <c:v>-1.4499999999999791E-2</c:v>
                </c:pt>
                <c:pt idx="11">
                  <c:v>-2.1699999999999796E-2</c:v>
                </c:pt>
                <c:pt idx="12">
                  <c:v>-2.8863999999999886E-2</c:v>
                </c:pt>
                <c:pt idx="13">
                  <c:v>-3.5992179999999763E-2</c:v>
                </c:pt>
                <c:pt idx="14">
                  <c:v>-4.3084719099999863E-2</c:v>
                </c:pt>
                <c:pt idx="15">
                  <c:v>-5.0141795504499979E-2</c:v>
                </c:pt>
                <c:pt idx="16">
                  <c:v>-5.716358652697761E-2</c:v>
                </c:pt>
                <c:pt idx="17">
                  <c:v>-6.4150268594342474E-2</c:v>
                </c:pt>
                <c:pt idx="18">
                  <c:v>-7.1102017251370914E-2</c:v>
                </c:pt>
                <c:pt idx="19">
                  <c:v>-7.8019007165114104E-2</c:v>
                </c:pt>
                <c:pt idx="20">
                  <c:v>-8.4901412129288464E-2</c:v>
                </c:pt>
              </c:numCache>
            </c:numRef>
          </c:xVal>
          <c:yVal>
            <c:numRef>
              <c:f>'OPTIONAL FULL MODEL APPENDIX'!$CE$7:$CE$27</c:f>
              <c:numCache>
                <c:formatCode>0.0</c:formatCode>
                <c:ptCount val="21"/>
                <c:pt idx="0">
                  <c:v>105.11401320407893</c:v>
                </c:pt>
                <c:pt idx="1">
                  <c:v>104.59105791450641</c:v>
                </c:pt>
                <c:pt idx="2">
                  <c:v>104.0707043925437</c:v>
                </c:pt>
                <c:pt idx="3">
                  <c:v>103.55293969407334</c:v>
                </c:pt>
                <c:pt idx="4">
                  <c:v>103.03775093937648</c:v>
                </c:pt>
                <c:pt idx="5">
                  <c:v>102.52512531281243</c:v>
                </c:pt>
                <c:pt idx="6">
                  <c:v>102.01505006249995</c:v>
                </c:pt>
                <c:pt idx="7">
                  <c:v>101.50751249999996</c:v>
                </c:pt>
                <c:pt idx="8">
                  <c:v>101.00249999999997</c:v>
                </c:pt>
                <c:pt idx="9">
                  <c:v>100.49999999999999</c:v>
                </c:pt>
                <c:pt idx="10">
                  <c:v>100</c:v>
                </c:pt>
                <c:pt idx="11">
                  <c:v>99.5</c:v>
                </c:pt>
                <c:pt idx="12">
                  <c:v>99.002499999999998</c:v>
                </c:pt>
                <c:pt idx="13">
                  <c:v>98.507487499999996</c:v>
                </c:pt>
                <c:pt idx="14">
                  <c:v>98.014950062499992</c:v>
                </c:pt>
                <c:pt idx="15">
                  <c:v>97.52487531218749</c:v>
                </c:pt>
                <c:pt idx="16">
                  <c:v>97.037250935626545</c:v>
                </c:pt>
                <c:pt idx="17">
                  <c:v>96.552064680948419</c:v>
                </c:pt>
                <c:pt idx="18">
                  <c:v>96.069304357543672</c:v>
                </c:pt>
                <c:pt idx="19">
                  <c:v>95.588957835755949</c:v>
                </c:pt>
                <c:pt idx="20">
                  <c:v>95.11101304657717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D9-4D22-8503-6AD713BBECC5}"/>
            </c:ext>
          </c:extLst>
        </c:ser>
        <c:ser>
          <c:idx val="2"/>
          <c:order val="2"/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'OPTIONAL FULL MODEL APPENDIX'!$CK$7:$CK$27</c:f>
              <c:numCache>
                <c:formatCode>0.0%</c:formatCode>
                <c:ptCount val="21"/>
                <c:pt idx="0">
                  <c:v>5.914179013873691E-2</c:v>
                </c:pt>
                <c:pt idx="1">
                  <c:v>5.1611233968892403E-2</c:v>
                </c:pt>
                <c:pt idx="2">
                  <c:v>4.4118143252629652E-2</c:v>
                </c:pt>
                <c:pt idx="3">
                  <c:v>3.6662331594656504E-2</c:v>
                </c:pt>
                <c:pt idx="4">
                  <c:v>2.9243613527021553E-2</c:v>
                </c:pt>
                <c:pt idx="5">
                  <c:v>2.1861804504499309E-2</c:v>
                </c:pt>
                <c:pt idx="6">
                  <c:v>1.4516720899999586E-2</c:v>
                </c:pt>
                <c:pt idx="7">
                  <c:v>7.2081799999996823E-3</c:v>
                </c:pt>
                <c:pt idx="8">
                  <c:v>-6.4000000000181967E-5</c:v>
                </c:pt>
                <c:pt idx="9">
                  <c:v>-7.2999999999999446E-3</c:v>
                </c:pt>
                <c:pt idx="10">
                  <c:v>-1.4499999999999791E-2</c:v>
                </c:pt>
                <c:pt idx="11">
                  <c:v>-2.1699999999999796E-2</c:v>
                </c:pt>
                <c:pt idx="12">
                  <c:v>-2.8863999999999886E-2</c:v>
                </c:pt>
                <c:pt idx="13">
                  <c:v>-3.5992179999999763E-2</c:v>
                </c:pt>
                <c:pt idx="14">
                  <c:v>-4.3084719099999863E-2</c:v>
                </c:pt>
                <c:pt idx="15">
                  <c:v>-5.0141795504499979E-2</c:v>
                </c:pt>
                <c:pt idx="16">
                  <c:v>-5.716358652697761E-2</c:v>
                </c:pt>
                <c:pt idx="17">
                  <c:v>-6.4150268594342474E-2</c:v>
                </c:pt>
                <c:pt idx="18">
                  <c:v>-7.1102017251370914E-2</c:v>
                </c:pt>
                <c:pt idx="19">
                  <c:v>-7.8019007165114104E-2</c:v>
                </c:pt>
                <c:pt idx="20">
                  <c:v>-8.4901412129288464E-2</c:v>
                </c:pt>
              </c:numCache>
            </c:numRef>
          </c:xVal>
          <c:yVal>
            <c:numRef>
              <c:f>'OPTIONAL FULL MODEL APPENDIX'!$CE$7:$CE$27</c:f>
              <c:numCache>
                <c:formatCode>0.0</c:formatCode>
                <c:ptCount val="21"/>
                <c:pt idx="0">
                  <c:v>105.11401320407893</c:v>
                </c:pt>
                <c:pt idx="1">
                  <c:v>104.59105791450641</c:v>
                </c:pt>
                <c:pt idx="2">
                  <c:v>104.0707043925437</c:v>
                </c:pt>
                <c:pt idx="3">
                  <c:v>103.55293969407334</c:v>
                </c:pt>
                <c:pt idx="4">
                  <c:v>103.03775093937648</c:v>
                </c:pt>
                <c:pt idx="5">
                  <c:v>102.52512531281243</c:v>
                </c:pt>
                <c:pt idx="6">
                  <c:v>102.01505006249995</c:v>
                </c:pt>
                <c:pt idx="7">
                  <c:v>101.50751249999996</c:v>
                </c:pt>
                <c:pt idx="8">
                  <c:v>101.00249999999997</c:v>
                </c:pt>
                <c:pt idx="9">
                  <c:v>100.49999999999999</c:v>
                </c:pt>
                <c:pt idx="10">
                  <c:v>100</c:v>
                </c:pt>
                <c:pt idx="11">
                  <c:v>99.5</c:v>
                </c:pt>
                <c:pt idx="12">
                  <c:v>99.002499999999998</c:v>
                </c:pt>
                <c:pt idx="13">
                  <c:v>98.507487499999996</c:v>
                </c:pt>
                <c:pt idx="14">
                  <c:v>98.014950062499992</c:v>
                </c:pt>
                <c:pt idx="15">
                  <c:v>97.52487531218749</c:v>
                </c:pt>
                <c:pt idx="16">
                  <c:v>97.037250935626545</c:v>
                </c:pt>
                <c:pt idx="17">
                  <c:v>96.552064680948419</c:v>
                </c:pt>
                <c:pt idx="18">
                  <c:v>96.069304357543672</c:v>
                </c:pt>
                <c:pt idx="19">
                  <c:v>95.588957835755949</c:v>
                </c:pt>
                <c:pt idx="20">
                  <c:v>95.11101304657717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D9-4D22-8503-6AD713BBECC5}"/>
            </c:ext>
          </c:extLst>
        </c:ser>
        <c:ser>
          <c:idx val="3"/>
          <c:order val="3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APPENDIX'!$CG$33:$CG$34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APPENDIX'!$CH$33:$CH$34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3D9-4D22-8503-6AD713BBECC5}"/>
            </c:ext>
          </c:extLst>
        </c:ser>
        <c:ser>
          <c:idx val="4"/>
          <c:order val="4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APPENDIX'!$CI$33:$CI$34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APPENDIX'!$CJ$33:$CJ$34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3D9-4D22-8503-6AD713BBECC5}"/>
            </c:ext>
          </c:extLst>
        </c:ser>
        <c:ser>
          <c:idx val="5"/>
          <c:order val="5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APPENDIX'!$CG$42:$CG$43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APPENDIX'!$CH$42:$CH$43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3D9-4D22-8503-6AD713BBECC5}"/>
            </c:ext>
          </c:extLst>
        </c:ser>
        <c:ser>
          <c:idx val="6"/>
          <c:order val="6"/>
          <c:spPr>
            <a:ln w="12700">
              <a:solidFill>
                <a:prstClr val="black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APPENDIX'!$CI$42:$CI$43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APPENDIX'!$CJ$42:$CJ$43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3D9-4D22-8503-6AD713BBECC5}"/>
            </c:ext>
          </c:extLst>
        </c:ser>
        <c:ser>
          <c:idx val="7"/>
          <c:order val="7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APPENDIX'!$CG$52:$CG$53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APPENDIX'!$CH$52:$CH$53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3D9-4D22-8503-6AD713BBECC5}"/>
            </c:ext>
          </c:extLst>
        </c:ser>
        <c:ser>
          <c:idx val="8"/>
          <c:order val="8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APPENDIX'!$CI$52:$CI$53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APPENDIX'!$CJ$52:$CJ$53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3D9-4D22-8503-6AD713BBECC5}"/>
            </c:ext>
          </c:extLst>
        </c:ser>
        <c:ser>
          <c:idx val="9"/>
          <c:order val="9"/>
          <c:tx>
            <c:strRef>
              <c:f>'OPTIONAL FULL MODEL APPENDIX'!$CG$31</c:f>
              <c:strCache>
                <c:ptCount val="1"/>
                <c:pt idx="0">
                  <c:v>base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D9-4D22-8503-6AD713BBECC5}"/>
                </c:ext>
              </c:extLst>
            </c:dLbl>
            <c:dLbl>
              <c:idx val="1"/>
              <c:layout>
                <c:manualLayout>
                  <c:x val="-1.3949161347862428E-2"/>
                  <c:y val="4.639174504558080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D9-4D22-8503-6AD713BBEC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APPENDIX'!$CG$36:$CG$37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APPENDIX'!$CH$36:$CH$37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3D9-4D22-8503-6AD713BBECC5}"/>
            </c:ext>
          </c:extLst>
        </c:ser>
        <c:ser>
          <c:idx val="10"/>
          <c:order val="10"/>
          <c:tx>
            <c:strRef>
              <c:f>'OPTIONAL FULL MODEL APPENDIX'!$CG$40</c:f>
              <c:strCache>
                <c:ptCount val="1"/>
                <c:pt idx="0">
                  <c:v>(i)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D9-4D22-8503-6AD713BBECC5}"/>
                </c:ext>
              </c:extLst>
            </c:dLbl>
            <c:dLbl>
              <c:idx val="1"/>
              <c:layout>
                <c:manualLayout>
                  <c:x val="-3.3140023776444878E-2"/>
                  <c:y val="2.101540478813658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22-469D-AD18-88F9D41077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APPENDIX'!$CG$45:$CG$46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APPENDIX'!$CH$45:$CH$46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3D9-4D22-8503-6AD713BBECC5}"/>
            </c:ext>
          </c:extLst>
        </c:ser>
        <c:ser>
          <c:idx val="11"/>
          <c:order val="11"/>
          <c:tx>
            <c:strRef>
              <c:f>'OPTIONAL FULL MODEL APPENDIX'!$CG$50</c:f>
              <c:strCache>
                <c:ptCount val="1"/>
                <c:pt idx="0">
                  <c:v>(ii)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D9-4D22-8503-6AD713BBECC5}"/>
                </c:ext>
              </c:extLst>
            </c:dLbl>
            <c:dLbl>
              <c:idx val="1"/>
              <c:layout>
                <c:manualLayout>
                  <c:x val="-3.3337472212068321E-2"/>
                  <c:y val="-1.375996039175369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D9-4D22-8503-6AD713BBEC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APPENDIX'!$CG$55:$CG$56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APPENDIX'!$CH$55:$CH$56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3D9-4D22-8503-6AD713BBE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748080"/>
        <c:axId val="706748472"/>
      </c:scatterChart>
      <c:valAx>
        <c:axId val="706748080"/>
        <c:scaling>
          <c:orientation val="minMax"/>
          <c:max val="2.5000000000000005E-2"/>
          <c:min val="-6.0000000000000012E-2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Net exports (in percent of potential</a:t>
                </a:r>
                <a:r>
                  <a:rPr lang="en-US" b="0" baseline="0"/>
                  <a:t> output)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26931171364306933"/>
              <c:y val="0.88770844250717507"/>
            </c:manualLayout>
          </c:layout>
          <c:overlay val="0"/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48472"/>
        <c:crosses val="autoZero"/>
        <c:crossBetween val="midCat"/>
      </c:valAx>
      <c:valAx>
        <c:axId val="706748472"/>
        <c:scaling>
          <c:orientation val="minMax"/>
          <c:max val="106"/>
          <c:min val="9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800" b="0"/>
                </a:pPr>
                <a:r>
                  <a:rPr lang="en-US" sz="800" b="0"/>
                  <a:t>Real exchange rate index </a:t>
                </a:r>
              </a:p>
              <a:p>
                <a:pPr>
                  <a:defRPr sz="800" b="0"/>
                </a:pPr>
                <a:r>
                  <a:rPr lang="en-US" sz="800" b="0"/>
                  <a:t>(app -, base=100)</a:t>
                </a:r>
              </a:p>
            </c:rich>
          </c:tx>
          <c:layout>
            <c:manualLayout>
              <c:xMode val="edge"/>
              <c:yMode val="edge"/>
              <c:x val="3.361261807752884E-3"/>
              <c:y val="0.26151886697507193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48080"/>
        <c:crossesAt val="-7.0000000000000021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Government</a:t>
            </a:r>
            <a:r>
              <a:rPr lang="en-US" baseline="0"/>
              <a:t> Debt/GDP</a:t>
            </a:r>
          </a:p>
          <a:p>
            <a:pPr>
              <a:defRPr/>
            </a:pPr>
            <a:r>
              <a:rPr lang="en-US" sz="800" baseline="0"/>
              <a:t>(in percent)</a:t>
            </a:r>
            <a:endParaRPr lang="en-US" sz="800"/>
          </a:p>
        </c:rich>
      </c:tx>
      <c:layout>
        <c:manualLayout>
          <c:xMode val="edge"/>
          <c:yMode val="edge"/>
          <c:x val="0.3077500000000000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'Fiscal and CB Dashboard'!$Q$31</c:f>
              <c:strCache>
                <c:ptCount val="1"/>
                <c:pt idx="0">
                  <c:v>Pub Deb/GDP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'Fiscal and CB Dashboard'!$R$30:$T$30</c:f>
              <c:strCache>
                <c:ptCount val="3"/>
                <c:pt idx="0">
                  <c:v>base</c:v>
                </c:pt>
                <c:pt idx="1">
                  <c:v>alt(i)</c:v>
                </c:pt>
                <c:pt idx="2">
                  <c:v>alt(ii)</c:v>
                </c:pt>
              </c:strCache>
            </c:strRef>
          </c:cat>
          <c:val>
            <c:numRef>
              <c:f>'Fiscal and CB Dashboard'!$R$31:$T$31</c:f>
              <c:numCache>
                <c:formatCode>0.0%</c:formatCode>
                <c:ptCount val="3"/>
                <c:pt idx="0">
                  <c:v>0.53896103896103897</c:v>
                </c:pt>
                <c:pt idx="1">
                  <c:v>0.53896103896103897</c:v>
                </c:pt>
                <c:pt idx="2">
                  <c:v>0.53896103896103897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8-44EB-B709-236B65A49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6756704"/>
        <c:axId val="706757096"/>
      </c:barChart>
      <c:catAx>
        <c:axId val="70675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7096"/>
        <c:crosses val="autoZero"/>
        <c:auto val="1"/>
        <c:lblAlgn val="ctr"/>
        <c:lblOffset val="100"/>
        <c:noMultiLvlLbl val="0"/>
      </c:catAx>
      <c:valAx>
        <c:axId val="7067570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6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External Debt / GDP</a:t>
            </a:r>
          </a:p>
          <a:p>
            <a:pPr>
              <a:defRPr/>
            </a:pPr>
            <a:r>
              <a:rPr lang="en-US" sz="1000"/>
              <a:t>(in percent)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'External Sector Dashboard'!$J$2:$N$2</c:f>
              <c:strCache>
                <c:ptCount val="5"/>
                <c:pt idx="0">
                  <c:v>base</c:v>
                </c:pt>
                <c:pt idx="2">
                  <c:v>alt(i)</c:v>
                </c:pt>
                <c:pt idx="4">
                  <c:v>alt(ii)</c:v>
                </c:pt>
              </c:strCache>
            </c:strRef>
          </c:cat>
          <c:val>
            <c:numRef>
              <c:f>'External Sector Dashboard'!$J$71:$N$71</c:f>
              <c:numCache>
                <c:formatCode>0.0%</c:formatCode>
                <c:ptCount val="5"/>
                <c:pt idx="0">
                  <c:v>0.30615351911970118</c:v>
                </c:pt>
                <c:pt idx="2">
                  <c:v>0.30252626361247165</c:v>
                </c:pt>
                <c:pt idx="4">
                  <c:v>0.30615351911970101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2-4BE1-AD8E-9CC292D54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6760624"/>
        <c:axId val="706761016"/>
      </c:barChart>
      <c:catAx>
        <c:axId val="70676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61016"/>
        <c:crosses val="autoZero"/>
        <c:auto val="1"/>
        <c:lblAlgn val="ctr"/>
        <c:lblOffset val="100"/>
        <c:noMultiLvlLbl val="0"/>
      </c:catAx>
      <c:valAx>
        <c:axId val="7067610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6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Internatinal Reserves</a:t>
            </a:r>
          </a:p>
          <a:p>
            <a:pPr>
              <a:defRPr/>
            </a:pPr>
            <a:r>
              <a:rPr lang="en-US"/>
              <a:t>US Dollar (millions)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'External Sector Dashboard'!$J$2:$N$2</c:f>
              <c:strCache>
                <c:ptCount val="5"/>
                <c:pt idx="0">
                  <c:v>base</c:v>
                </c:pt>
                <c:pt idx="2">
                  <c:v>alt(i)</c:v>
                </c:pt>
                <c:pt idx="4">
                  <c:v>alt(ii)</c:v>
                </c:pt>
              </c:strCache>
            </c:strRef>
          </c:cat>
          <c:val>
            <c:numRef>
              <c:f>'External Sector Dashboard'!$J$87:$N$87</c:f>
              <c:numCache>
                <c:formatCode>0.00</c:formatCode>
                <c:ptCount val="5"/>
                <c:pt idx="0">
                  <c:v>13.333333333333334</c:v>
                </c:pt>
                <c:pt idx="2">
                  <c:v>11.90621791454867</c:v>
                </c:pt>
                <c:pt idx="4">
                  <c:v>13.333333333333334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6-49DD-B363-62C223EEC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6760624"/>
        <c:axId val="706761016"/>
      </c:barChart>
      <c:catAx>
        <c:axId val="70676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61016"/>
        <c:crosses val="autoZero"/>
        <c:auto val="1"/>
        <c:lblAlgn val="ctr"/>
        <c:lblOffset val="100"/>
        <c:noMultiLvlLbl val="0"/>
      </c:catAx>
      <c:valAx>
        <c:axId val="70676101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6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Change in Other Domestic Assets of Central Bank</a:t>
            </a:r>
          </a:p>
          <a:p>
            <a:pPr>
              <a:defRPr/>
            </a:pPr>
            <a:r>
              <a:rPr lang="en-US" sz="900"/>
              <a:t>(Millions  of Currency Units)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'Fiscal and CB Dashboard'!$R$55</c:f>
              <c:strCache>
                <c:ptCount val="1"/>
                <c:pt idx="0">
                  <c:v>D Other Dom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'Fiscal and CB Dashboard'!$S$53:$U$53</c:f>
              <c:strCache>
                <c:ptCount val="3"/>
                <c:pt idx="0">
                  <c:v>base</c:v>
                </c:pt>
                <c:pt idx="1">
                  <c:v>alt(i)</c:v>
                </c:pt>
                <c:pt idx="2">
                  <c:v>alt(ii)</c:v>
                </c:pt>
              </c:strCache>
            </c:strRef>
          </c:cat>
          <c:val>
            <c:numRef>
              <c:f>'Fiscal and CB Dashboard'!$S$55:$U$55</c:f>
              <c:numCache>
                <c:formatCode>0.00</c:formatCode>
                <c:ptCount val="3"/>
                <c:pt idx="0">
                  <c:v>0</c:v>
                </c:pt>
                <c:pt idx="1">
                  <c:v>4.429709740485066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A-4A70-984E-33FBD1A38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6755528"/>
        <c:axId val="706755920"/>
      </c:barChart>
      <c:catAx>
        <c:axId val="706755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5920"/>
        <c:crosses val="autoZero"/>
        <c:auto val="1"/>
        <c:lblAlgn val="ctr"/>
        <c:lblOffset val="100"/>
        <c:noMultiLvlLbl val="0"/>
      </c:catAx>
      <c:valAx>
        <c:axId val="7067559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5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IS/RR Curve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APPENDIX'!$AP$7:$AP$27</c:f>
              <c:numCache>
                <c:formatCode>0.00%</c:formatCode>
                <c:ptCount val="21"/>
                <c:pt idx="0">
                  <c:v>1.3148325358851676E-2</c:v>
                </c:pt>
                <c:pt idx="1">
                  <c:v>1.4833492822966506E-2</c:v>
                </c:pt>
                <c:pt idx="2">
                  <c:v>1.6518660287081339E-2</c:v>
                </c:pt>
                <c:pt idx="3">
                  <c:v>1.820382775119617E-2</c:v>
                </c:pt>
                <c:pt idx="4">
                  <c:v>1.9888995215311005E-2</c:v>
                </c:pt>
                <c:pt idx="5">
                  <c:v>2.1574162679425836E-2</c:v>
                </c:pt>
                <c:pt idx="6">
                  <c:v>2.3259330143540667E-2</c:v>
                </c:pt>
                <c:pt idx="7">
                  <c:v>2.4944497607655502E-2</c:v>
                </c:pt>
                <c:pt idx="8">
                  <c:v>2.6629665071770333E-2</c:v>
                </c:pt>
                <c:pt idx="9">
                  <c:v>2.8314832535885168E-2</c:v>
                </c:pt>
                <c:pt idx="10">
                  <c:v>0.03</c:v>
                </c:pt>
                <c:pt idx="11">
                  <c:v>3.168516746411483E-2</c:v>
                </c:pt>
                <c:pt idx="12">
                  <c:v>3.3370334928229661E-2</c:v>
                </c:pt>
                <c:pt idx="13">
                  <c:v>3.5055502392344493E-2</c:v>
                </c:pt>
                <c:pt idx="14">
                  <c:v>3.6740669856459331E-2</c:v>
                </c:pt>
                <c:pt idx="15">
                  <c:v>3.8425837320574162E-2</c:v>
                </c:pt>
                <c:pt idx="16">
                  <c:v>4.0111004784688993E-2</c:v>
                </c:pt>
                <c:pt idx="17">
                  <c:v>4.1796172248803831E-2</c:v>
                </c:pt>
                <c:pt idx="18">
                  <c:v>4.3481339712918662E-2</c:v>
                </c:pt>
                <c:pt idx="19">
                  <c:v>4.5166507177033494E-2</c:v>
                </c:pt>
                <c:pt idx="20">
                  <c:v>4.6851674641148325E-2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76-4E28-B770-E9558E492DD1}"/>
            </c:ext>
          </c:extLst>
        </c:ser>
        <c:ser>
          <c:idx val="1"/>
          <c:order val="1"/>
          <c:spPr>
            <a:ln w="1905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APPENDIX'!$AR$7:$AR$27</c:f>
              <c:numCache>
                <c:formatCode>0.00%</c:formatCode>
                <c:ptCount val="21"/>
                <c:pt idx="0">
                  <c:v>1.3148325358851676E-2</c:v>
                </c:pt>
                <c:pt idx="1">
                  <c:v>1.4833492822966506E-2</c:v>
                </c:pt>
                <c:pt idx="2">
                  <c:v>1.6518660287081339E-2</c:v>
                </c:pt>
                <c:pt idx="3">
                  <c:v>1.820382775119617E-2</c:v>
                </c:pt>
                <c:pt idx="4">
                  <c:v>1.9888995215311005E-2</c:v>
                </c:pt>
                <c:pt idx="5">
                  <c:v>2.1574162679425836E-2</c:v>
                </c:pt>
                <c:pt idx="6">
                  <c:v>2.3259330143540667E-2</c:v>
                </c:pt>
                <c:pt idx="7">
                  <c:v>2.4944497607655502E-2</c:v>
                </c:pt>
                <c:pt idx="8">
                  <c:v>2.6629665071770333E-2</c:v>
                </c:pt>
                <c:pt idx="9">
                  <c:v>2.8314832535885168E-2</c:v>
                </c:pt>
                <c:pt idx="10" formatCode="0.0%">
                  <c:v>0.03</c:v>
                </c:pt>
                <c:pt idx="11">
                  <c:v>3.168516746411483E-2</c:v>
                </c:pt>
                <c:pt idx="12">
                  <c:v>3.3370334928229661E-2</c:v>
                </c:pt>
                <c:pt idx="13">
                  <c:v>3.5055502392344493E-2</c:v>
                </c:pt>
                <c:pt idx="14">
                  <c:v>3.6740669856459331E-2</c:v>
                </c:pt>
                <c:pt idx="15">
                  <c:v>3.8425837320574162E-2</c:v>
                </c:pt>
                <c:pt idx="16">
                  <c:v>4.0111004784688993E-2</c:v>
                </c:pt>
                <c:pt idx="17">
                  <c:v>4.1796172248803831E-2</c:v>
                </c:pt>
                <c:pt idx="18">
                  <c:v>4.3481339712918662E-2</c:v>
                </c:pt>
                <c:pt idx="19">
                  <c:v>4.5166507177033494E-2</c:v>
                </c:pt>
                <c:pt idx="20">
                  <c:v>4.6851674641148325E-2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76-4E28-B770-E9558E492DD1}"/>
            </c:ext>
          </c:extLst>
        </c:ser>
        <c:ser>
          <c:idx val="2"/>
          <c:order val="2"/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APPENDIX'!$AT$7:$AT$27</c:f>
              <c:numCache>
                <c:formatCode>0.00%</c:formatCode>
                <c:ptCount val="21"/>
                <c:pt idx="0">
                  <c:v>1.3148325358851676E-2</c:v>
                </c:pt>
                <c:pt idx="1">
                  <c:v>1.4833492822966506E-2</c:v>
                </c:pt>
                <c:pt idx="2">
                  <c:v>1.6518660287081339E-2</c:v>
                </c:pt>
                <c:pt idx="3">
                  <c:v>1.820382775119617E-2</c:v>
                </c:pt>
                <c:pt idx="4">
                  <c:v>1.9888995215311005E-2</c:v>
                </c:pt>
                <c:pt idx="5">
                  <c:v>2.1574162679425836E-2</c:v>
                </c:pt>
                <c:pt idx="6">
                  <c:v>2.3259330143540667E-2</c:v>
                </c:pt>
                <c:pt idx="7">
                  <c:v>2.4944497607655502E-2</c:v>
                </c:pt>
                <c:pt idx="8">
                  <c:v>2.6629665071770333E-2</c:v>
                </c:pt>
                <c:pt idx="9">
                  <c:v>2.8314832535885168E-2</c:v>
                </c:pt>
                <c:pt idx="10">
                  <c:v>0.03</c:v>
                </c:pt>
                <c:pt idx="11">
                  <c:v>3.168516746411483E-2</c:v>
                </c:pt>
                <c:pt idx="12">
                  <c:v>3.3370334928229661E-2</c:v>
                </c:pt>
                <c:pt idx="13">
                  <c:v>3.5055502392344493E-2</c:v>
                </c:pt>
                <c:pt idx="14">
                  <c:v>3.6740669856459331E-2</c:v>
                </c:pt>
                <c:pt idx="15">
                  <c:v>3.8425837320574162E-2</c:v>
                </c:pt>
                <c:pt idx="16">
                  <c:v>4.0111004784688993E-2</c:v>
                </c:pt>
                <c:pt idx="17">
                  <c:v>4.1796172248803831E-2</c:v>
                </c:pt>
                <c:pt idx="18">
                  <c:v>4.3481339712918662E-2</c:v>
                </c:pt>
                <c:pt idx="19">
                  <c:v>4.5166507177033494E-2</c:v>
                </c:pt>
                <c:pt idx="20">
                  <c:v>4.6851674641148325E-2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76-4E28-B770-E9558E492DD1}"/>
            </c:ext>
          </c:extLst>
        </c:ser>
        <c:ser>
          <c:idx val="3"/>
          <c:order val="3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APPENDIX'!$BI$7:$BI$27</c:f>
              <c:numCache>
                <c:formatCode>0.0%</c:formatCode>
                <c:ptCount val="21"/>
                <c:pt idx="0">
                  <c:v>7.2000000000000008E-2</c:v>
                </c:pt>
                <c:pt idx="1">
                  <c:v>6.7799999999999999E-2</c:v>
                </c:pt>
                <c:pt idx="2">
                  <c:v>6.3600000000000004E-2</c:v>
                </c:pt>
                <c:pt idx="3">
                  <c:v>5.9400000000000008E-2</c:v>
                </c:pt>
                <c:pt idx="4">
                  <c:v>5.5199999999999999E-2</c:v>
                </c:pt>
                <c:pt idx="5">
                  <c:v>5.1000000000000004E-2</c:v>
                </c:pt>
                <c:pt idx="6">
                  <c:v>4.6800000000000008E-2</c:v>
                </c:pt>
                <c:pt idx="7">
                  <c:v>4.2599999999999999E-2</c:v>
                </c:pt>
                <c:pt idx="8">
                  <c:v>3.8400000000000004E-2</c:v>
                </c:pt>
                <c:pt idx="9">
                  <c:v>3.4200000000000001E-2</c:v>
                </c:pt>
                <c:pt idx="10">
                  <c:v>0.03</c:v>
                </c:pt>
                <c:pt idx="11">
                  <c:v>2.58E-2</c:v>
                </c:pt>
                <c:pt idx="12">
                  <c:v>2.1600000000000001E-2</c:v>
                </c:pt>
                <c:pt idx="13">
                  <c:v>1.7399999999999999E-2</c:v>
                </c:pt>
                <c:pt idx="14">
                  <c:v>1.3199999999999998E-2</c:v>
                </c:pt>
                <c:pt idx="15">
                  <c:v>8.9999999999999976E-3</c:v>
                </c:pt>
                <c:pt idx="16">
                  <c:v>4.799999999999997E-3</c:v>
                </c:pt>
                <c:pt idx="17">
                  <c:v>5.999999999999929E-4</c:v>
                </c:pt>
                <c:pt idx="18">
                  <c:v>-3.6000000000000042E-3</c:v>
                </c:pt>
                <c:pt idx="19">
                  <c:v>-7.8000000000000014E-3</c:v>
                </c:pt>
                <c:pt idx="20">
                  <c:v>-1.1999999999999999E-2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676-4E28-B770-E9558E492DD1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APPENDIX'!$BK$7:$BK$27</c:f>
              <c:numCache>
                <c:formatCode>0.0%</c:formatCode>
                <c:ptCount val="21"/>
                <c:pt idx="0">
                  <c:v>7.2000000000000008E-2</c:v>
                </c:pt>
                <c:pt idx="1">
                  <c:v>6.7799999999999999E-2</c:v>
                </c:pt>
                <c:pt idx="2">
                  <c:v>6.3600000000000004E-2</c:v>
                </c:pt>
                <c:pt idx="3">
                  <c:v>5.9400000000000008E-2</c:v>
                </c:pt>
                <c:pt idx="4">
                  <c:v>5.5199999999999999E-2</c:v>
                </c:pt>
                <c:pt idx="5">
                  <c:v>5.1000000000000004E-2</c:v>
                </c:pt>
                <c:pt idx="6">
                  <c:v>4.6800000000000008E-2</c:v>
                </c:pt>
                <c:pt idx="7">
                  <c:v>4.2599999999999999E-2</c:v>
                </c:pt>
                <c:pt idx="8">
                  <c:v>3.8400000000000004E-2</c:v>
                </c:pt>
                <c:pt idx="9">
                  <c:v>3.4200000000000001E-2</c:v>
                </c:pt>
                <c:pt idx="10">
                  <c:v>0.03</c:v>
                </c:pt>
                <c:pt idx="11">
                  <c:v>2.58E-2</c:v>
                </c:pt>
                <c:pt idx="12">
                  <c:v>2.1600000000000001E-2</c:v>
                </c:pt>
                <c:pt idx="13">
                  <c:v>1.7399999999999999E-2</c:v>
                </c:pt>
                <c:pt idx="14">
                  <c:v>1.3199999999999998E-2</c:v>
                </c:pt>
                <c:pt idx="15">
                  <c:v>8.9999999999999976E-3</c:v>
                </c:pt>
                <c:pt idx="16">
                  <c:v>4.799999999999997E-3</c:v>
                </c:pt>
                <c:pt idx="17">
                  <c:v>5.999999999999929E-4</c:v>
                </c:pt>
                <c:pt idx="18">
                  <c:v>-3.6000000000000042E-3</c:v>
                </c:pt>
                <c:pt idx="19">
                  <c:v>-7.8000000000000014E-3</c:v>
                </c:pt>
                <c:pt idx="20">
                  <c:v>-1.1999999999999999E-2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76-4E28-B770-E9558E492DD1}"/>
            </c:ext>
          </c:extLst>
        </c:ser>
        <c:ser>
          <c:idx val="5"/>
          <c:order val="5"/>
          <c:spPr>
            <a:ln w="19050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APPENDIX'!$BM$7:$BM$27</c:f>
              <c:numCache>
                <c:formatCode>0.0%</c:formatCode>
                <c:ptCount val="21"/>
                <c:pt idx="0">
                  <c:v>7.2000000000000008E-2</c:v>
                </c:pt>
                <c:pt idx="1">
                  <c:v>6.7799999999999999E-2</c:v>
                </c:pt>
                <c:pt idx="2">
                  <c:v>6.3600000000000004E-2</c:v>
                </c:pt>
                <c:pt idx="3">
                  <c:v>5.9400000000000008E-2</c:v>
                </c:pt>
                <c:pt idx="4">
                  <c:v>5.5199999999999999E-2</c:v>
                </c:pt>
                <c:pt idx="5">
                  <c:v>5.1000000000000004E-2</c:v>
                </c:pt>
                <c:pt idx="6">
                  <c:v>4.6800000000000008E-2</c:v>
                </c:pt>
                <c:pt idx="7">
                  <c:v>4.2599999999999999E-2</c:v>
                </c:pt>
                <c:pt idx="8">
                  <c:v>3.8400000000000004E-2</c:v>
                </c:pt>
                <c:pt idx="9">
                  <c:v>3.4200000000000001E-2</c:v>
                </c:pt>
                <c:pt idx="10">
                  <c:v>0.03</c:v>
                </c:pt>
                <c:pt idx="11">
                  <c:v>2.58E-2</c:v>
                </c:pt>
                <c:pt idx="12">
                  <c:v>2.1600000000000001E-2</c:v>
                </c:pt>
                <c:pt idx="13">
                  <c:v>1.7399999999999999E-2</c:v>
                </c:pt>
                <c:pt idx="14">
                  <c:v>1.3199999999999998E-2</c:v>
                </c:pt>
                <c:pt idx="15">
                  <c:v>8.9999999999999976E-3</c:v>
                </c:pt>
                <c:pt idx="16">
                  <c:v>4.799999999999997E-3</c:v>
                </c:pt>
                <c:pt idx="17">
                  <c:v>5.999999999999929E-4</c:v>
                </c:pt>
                <c:pt idx="18">
                  <c:v>-3.6000000000000042E-3</c:v>
                </c:pt>
                <c:pt idx="19">
                  <c:v>-7.8000000000000014E-3</c:v>
                </c:pt>
                <c:pt idx="20">
                  <c:v>-1.1999999999999999E-2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676-4E28-B770-E9558E492DD1}"/>
            </c:ext>
          </c:extLst>
        </c:ser>
        <c:ser>
          <c:idx val="6"/>
          <c:order val="6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APPENDIX'!$AP$33:$AP$34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APPENDIX'!$AQ$33:$AQ$34</c:f>
              <c:numCache>
                <c:formatCode>0.0%</c:formatCode>
                <c:ptCount val="2"/>
                <c:pt idx="0">
                  <c:v>-0.1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676-4E28-B770-E9558E492DD1}"/>
            </c:ext>
          </c:extLst>
        </c:ser>
        <c:ser>
          <c:idx val="7"/>
          <c:order val="7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APPENDIX'!$AP$37:$AP$38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APPENDIX'!$AQ$37:$AQ$38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676-4E28-B770-E9558E492DD1}"/>
            </c:ext>
          </c:extLst>
        </c:ser>
        <c:ser>
          <c:idx val="8"/>
          <c:order val="8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APPENDIX'!$AP$42:$AP$43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APPENDIX'!$AQ$42:$AQ$43</c:f>
              <c:numCache>
                <c:formatCode>0.0%</c:formatCode>
                <c:ptCount val="2"/>
                <c:pt idx="0">
                  <c:v>-0.1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676-4E28-B770-E9558E492DD1}"/>
            </c:ext>
          </c:extLst>
        </c:ser>
        <c:ser>
          <c:idx val="9"/>
          <c:order val="9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APPENDIX'!$AP$46:$AP$47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APPENDIX'!$AQ$46:$AQ$47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676-4E28-B770-E9558E492DD1}"/>
            </c:ext>
          </c:extLst>
        </c:ser>
        <c:ser>
          <c:idx val="10"/>
          <c:order val="10"/>
          <c:spPr>
            <a:ln w="12700" cap="rnd">
              <a:solidFill>
                <a:schemeClr val="accent5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APPENDIX'!$AP$51:$AP$52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APPENDIX'!$AQ$51:$AQ$52</c:f>
              <c:numCache>
                <c:formatCode>0.0%</c:formatCode>
                <c:ptCount val="2"/>
                <c:pt idx="0">
                  <c:v>-0.1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676-4E28-B770-E9558E492DD1}"/>
            </c:ext>
          </c:extLst>
        </c:ser>
        <c:ser>
          <c:idx val="11"/>
          <c:order val="11"/>
          <c:spPr>
            <a:ln w="12700" cap="rnd">
              <a:solidFill>
                <a:schemeClr val="accent6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APPENDIX'!$AP$55:$AP$56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APPENDIX'!$AQ$55:$AQ$56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676-4E28-B770-E9558E492DD1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APPENDIX'!$AR$33:$AR$34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APPENDIX'!$AS$33:$AS$34</c:f>
              <c:numCache>
                <c:formatCode>0.00%</c:formatCode>
                <c:ptCount val="2"/>
                <c:pt idx="0" formatCode="0.0%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676-4E28-B770-E9558E492DD1}"/>
            </c:ext>
          </c:extLst>
        </c:ser>
        <c:ser>
          <c:idx val="13"/>
          <c:order val="13"/>
          <c:tx>
            <c:strRef>
              <c:f>'OPTIONAL FULL MODEL APPENDIX'!$AR$31</c:f>
              <c:strCache>
                <c:ptCount val="1"/>
                <c:pt idx="0">
                  <c:v>base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76-4E28-B770-E9558E492DD1}"/>
                </c:ext>
              </c:extLst>
            </c:dLbl>
            <c:dLbl>
              <c:idx val="1"/>
              <c:layout>
                <c:manualLayout>
                  <c:x val="-4.7397766048227243E-2"/>
                  <c:y val="2.771280946425177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76-4E28-B770-E9558E492D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APPENDIX'!$AR$33:$AR$34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APPENDIX'!$AS$33:$AS$34</c:f>
              <c:numCache>
                <c:formatCode>0.00%</c:formatCode>
                <c:ptCount val="2"/>
                <c:pt idx="0" formatCode="0.0%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676-4E28-B770-E9558E492DD1}"/>
            </c:ext>
          </c:extLst>
        </c:ser>
        <c:ser>
          <c:idx val="14"/>
          <c:order val="14"/>
          <c:tx>
            <c:strRef>
              <c:f>'OPTIONAL FULL MODEL APPENDIX'!$AR$40</c:f>
              <c:strCache>
                <c:ptCount val="1"/>
                <c:pt idx="0">
                  <c:v>(i)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76-4E28-B770-E9558E492DD1}"/>
                </c:ext>
              </c:extLst>
            </c:dLbl>
            <c:dLbl>
              <c:idx val="1"/>
              <c:layout>
                <c:manualLayout>
                  <c:x val="-3.0669142737088272E-2"/>
                  <c:y val="-2.771280946425177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76-4E28-B770-E9558E492D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APPENDIX'!$AR$42:$AR$43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APPENDIX'!$AS$42:$AS$43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1676-4E28-B770-E9558E492DD1}"/>
            </c:ext>
          </c:extLst>
        </c:ser>
        <c:ser>
          <c:idx val="15"/>
          <c:order val="15"/>
          <c:tx>
            <c:strRef>
              <c:f>'OPTIONAL FULL MODEL APPENDIX'!$AR$49</c:f>
              <c:strCache>
                <c:ptCount val="1"/>
                <c:pt idx="0">
                  <c:v>(ii)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76-4E28-B770-E9558E492DD1}"/>
                </c:ext>
              </c:extLst>
            </c:dLbl>
            <c:dLbl>
              <c:idx val="1"/>
              <c:layout>
                <c:manualLayout>
                  <c:x val="-1.6728623311139015E-2"/>
                  <c:y val="-8.467705072203167E-1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76-4E28-B770-E9558E492D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APPENDIX'!$AR$51:$AR$52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APPENDIX'!$AS$51:$AS$52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1676-4E28-B770-E9558E492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749256"/>
        <c:axId val="706749648"/>
      </c:scatterChart>
      <c:valAx>
        <c:axId val="706749256"/>
        <c:scaling>
          <c:orientation val="minMax"/>
          <c:max val="5.0000000000000024E-2"/>
          <c:min val="-5.0000000000000024E-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Output</a:t>
                </a:r>
                <a:r>
                  <a:rPr lang="en-US" b="0" baseline="0"/>
                  <a:t> gap (in percent)</a:t>
                </a:r>
                <a:endParaRPr lang="en-US" b="0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49648"/>
        <c:crossesAt val="-6.0000000000000032E-2"/>
        <c:crossBetween val="midCat"/>
      </c:valAx>
      <c:valAx>
        <c:axId val="706749648"/>
        <c:scaling>
          <c:orientation val="minMax"/>
          <c:max val="6.0000000000000032E-2"/>
          <c:min val="-2.0000000000000011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Real interest rate (in percent)</a:t>
                </a:r>
              </a:p>
            </c:rich>
          </c:tx>
          <c:overlay val="0"/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49256"/>
        <c:crossesAt val="-6.0000000000000032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Phillips Curve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APPENDIX'!$BX$7:$BX$27</c:f>
              <c:numCache>
                <c:formatCode>0.0%</c:formatCode>
                <c:ptCount val="21"/>
                <c:pt idx="0">
                  <c:v>5.5E-2</c:v>
                </c:pt>
                <c:pt idx="1">
                  <c:v>5.3999999999999999E-2</c:v>
                </c:pt>
                <c:pt idx="2">
                  <c:v>5.2999999999999999E-2</c:v>
                </c:pt>
                <c:pt idx="3">
                  <c:v>5.1999999999999998E-2</c:v>
                </c:pt>
                <c:pt idx="4">
                  <c:v>5.0999999999999997E-2</c:v>
                </c:pt>
                <c:pt idx="5">
                  <c:v>0.05</c:v>
                </c:pt>
                <c:pt idx="6">
                  <c:v>4.9000000000000002E-2</c:v>
                </c:pt>
                <c:pt idx="7">
                  <c:v>4.8000000000000001E-2</c:v>
                </c:pt>
                <c:pt idx="8">
                  <c:v>4.7E-2</c:v>
                </c:pt>
                <c:pt idx="9">
                  <c:v>4.5999999999999999E-2</c:v>
                </c:pt>
                <c:pt idx="10">
                  <c:v>4.4999999999999998E-2</c:v>
                </c:pt>
                <c:pt idx="11">
                  <c:v>4.3999999999999997E-2</c:v>
                </c:pt>
                <c:pt idx="12">
                  <c:v>4.2999999999999997E-2</c:v>
                </c:pt>
                <c:pt idx="13">
                  <c:v>4.1999999999999996E-2</c:v>
                </c:pt>
                <c:pt idx="14">
                  <c:v>4.0999999999999995E-2</c:v>
                </c:pt>
                <c:pt idx="15">
                  <c:v>3.9999999999999994E-2</c:v>
                </c:pt>
                <c:pt idx="16">
                  <c:v>3.9E-2</c:v>
                </c:pt>
                <c:pt idx="17">
                  <c:v>3.7999999999999999E-2</c:v>
                </c:pt>
                <c:pt idx="18">
                  <c:v>3.6999999999999998E-2</c:v>
                </c:pt>
                <c:pt idx="19">
                  <c:v>3.5999999999999997E-2</c:v>
                </c:pt>
                <c:pt idx="20">
                  <c:v>3.4999999999999996E-2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78-4DFC-87AF-E09EACD85099}"/>
            </c:ext>
          </c:extLst>
        </c:ser>
        <c:ser>
          <c:idx val="1"/>
          <c:order val="1"/>
          <c:spPr>
            <a:ln w="1905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APPENDIX'!$BZ$7:$BZ$27</c:f>
              <c:numCache>
                <c:formatCode>0.0%</c:formatCode>
                <c:ptCount val="21"/>
                <c:pt idx="0">
                  <c:v>5.5E-2</c:v>
                </c:pt>
                <c:pt idx="1">
                  <c:v>5.3999999999999999E-2</c:v>
                </c:pt>
                <c:pt idx="2">
                  <c:v>5.2999999999999999E-2</c:v>
                </c:pt>
                <c:pt idx="3">
                  <c:v>5.1999999999999998E-2</c:v>
                </c:pt>
                <c:pt idx="4">
                  <c:v>5.0999999999999997E-2</c:v>
                </c:pt>
                <c:pt idx="5">
                  <c:v>0.05</c:v>
                </c:pt>
                <c:pt idx="6">
                  <c:v>4.9000000000000002E-2</c:v>
                </c:pt>
                <c:pt idx="7">
                  <c:v>4.8000000000000001E-2</c:v>
                </c:pt>
                <c:pt idx="8">
                  <c:v>4.7E-2</c:v>
                </c:pt>
                <c:pt idx="9">
                  <c:v>4.5999999999999999E-2</c:v>
                </c:pt>
                <c:pt idx="10">
                  <c:v>4.4999999999999998E-2</c:v>
                </c:pt>
                <c:pt idx="11">
                  <c:v>4.3999999999999997E-2</c:v>
                </c:pt>
                <c:pt idx="12">
                  <c:v>4.2999999999999997E-2</c:v>
                </c:pt>
                <c:pt idx="13">
                  <c:v>4.1999999999999996E-2</c:v>
                </c:pt>
                <c:pt idx="14">
                  <c:v>4.0999999999999995E-2</c:v>
                </c:pt>
                <c:pt idx="15">
                  <c:v>3.9999999999999994E-2</c:v>
                </c:pt>
                <c:pt idx="16">
                  <c:v>3.9E-2</c:v>
                </c:pt>
                <c:pt idx="17">
                  <c:v>3.7999999999999999E-2</c:v>
                </c:pt>
                <c:pt idx="18">
                  <c:v>3.6999999999999998E-2</c:v>
                </c:pt>
                <c:pt idx="19">
                  <c:v>3.5999999999999997E-2</c:v>
                </c:pt>
                <c:pt idx="20">
                  <c:v>3.4999999999999996E-2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78-4DFC-87AF-E09EACD85099}"/>
            </c:ext>
          </c:extLst>
        </c:ser>
        <c:ser>
          <c:idx val="2"/>
          <c:order val="2"/>
          <c:spPr>
            <a:ln w="19050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APPENDIX'!$CB$7:$CB$27</c:f>
              <c:numCache>
                <c:formatCode>0.0%</c:formatCode>
                <c:ptCount val="21"/>
                <c:pt idx="0">
                  <c:v>5.5E-2</c:v>
                </c:pt>
                <c:pt idx="1">
                  <c:v>5.3999999999999999E-2</c:v>
                </c:pt>
                <c:pt idx="2">
                  <c:v>5.2999999999999999E-2</c:v>
                </c:pt>
                <c:pt idx="3">
                  <c:v>5.1999999999999998E-2</c:v>
                </c:pt>
                <c:pt idx="4">
                  <c:v>5.0999999999999997E-2</c:v>
                </c:pt>
                <c:pt idx="5">
                  <c:v>0.05</c:v>
                </c:pt>
                <c:pt idx="6">
                  <c:v>4.9000000000000002E-2</c:v>
                </c:pt>
                <c:pt idx="7">
                  <c:v>4.8000000000000001E-2</c:v>
                </c:pt>
                <c:pt idx="8">
                  <c:v>4.7E-2</c:v>
                </c:pt>
                <c:pt idx="9">
                  <c:v>4.5999999999999999E-2</c:v>
                </c:pt>
                <c:pt idx="10">
                  <c:v>4.4999999999999998E-2</c:v>
                </c:pt>
                <c:pt idx="11">
                  <c:v>4.3999999999999997E-2</c:v>
                </c:pt>
                <c:pt idx="12">
                  <c:v>4.2999999999999997E-2</c:v>
                </c:pt>
                <c:pt idx="13">
                  <c:v>4.1999999999999996E-2</c:v>
                </c:pt>
                <c:pt idx="14">
                  <c:v>4.0999999999999995E-2</c:v>
                </c:pt>
                <c:pt idx="15">
                  <c:v>3.9999999999999994E-2</c:v>
                </c:pt>
                <c:pt idx="16">
                  <c:v>3.9E-2</c:v>
                </c:pt>
                <c:pt idx="17">
                  <c:v>3.7999999999999999E-2</c:v>
                </c:pt>
                <c:pt idx="18">
                  <c:v>3.6999999999999998E-2</c:v>
                </c:pt>
                <c:pt idx="19">
                  <c:v>3.5999999999999997E-2</c:v>
                </c:pt>
                <c:pt idx="20">
                  <c:v>3.4999999999999996E-2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78-4DFC-87AF-E09EACD85099}"/>
            </c:ext>
          </c:extLst>
        </c:ser>
        <c:ser>
          <c:idx val="3"/>
          <c:order val="3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APPENDIX'!$BY$33:$BY$34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APPENDIX'!$BZ$33:$BZ$34</c:f>
              <c:numCache>
                <c:formatCode>0.0%</c:formatCode>
                <c:ptCount val="2"/>
                <c:pt idx="0">
                  <c:v>-0.1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078-4DFC-87AF-E09EACD85099}"/>
            </c:ext>
          </c:extLst>
        </c:ser>
        <c:ser>
          <c:idx val="4"/>
          <c:order val="4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APPENDIX'!$BY$37:$BY$38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APPENDIX'!$BZ$37:$BZ$38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078-4DFC-87AF-E09EACD85099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1"/>
            <c:bubble3D val="0"/>
            <c:spPr>
              <a:ln w="12700" cap="rnd">
                <a:solidFill>
                  <a:schemeClr val="tx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078-4DFC-87AF-E09EACD85099}"/>
              </c:ext>
            </c:extLst>
          </c:dPt>
          <c:xVal>
            <c:numRef>
              <c:f>'OPTIONAL FULL MODEL APPENDIX'!$BY$42:$BY$43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APPENDIX'!$BZ$42:$BZ$43</c:f>
              <c:numCache>
                <c:formatCode>0.0%</c:formatCode>
                <c:ptCount val="2"/>
                <c:pt idx="0">
                  <c:v>-0.1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078-4DFC-87AF-E09EACD85099}"/>
            </c:ext>
          </c:extLst>
        </c:ser>
        <c:ser>
          <c:idx val="6"/>
          <c:order val="6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APPENDIX'!$BY$46:$BY$47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APPENDIX'!$BZ$46:$BZ$47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078-4DFC-87AF-E09EACD85099}"/>
            </c:ext>
          </c:extLst>
        </c:ser>
        <c:ser>
          <c:idx val="7"/>
          <c:order val="7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APPENDIX'!$BY$51:$BY$52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APPENDIX'!$BZ$51:$BZ$52</c:f>
              <c:numCache>
                <c:formatCode>0.0%</c:formatCode>
                <c:ptCount val="2"/>
                <c:pt idx="0">
                  <c:v>-0.1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078-4DFC-87AF-E09EACD85099}"/>
            </c:ext>
          </c:extLst>
        </c:ser>
        <c:ser>
          <c:idx val="8"/>
          <c:order val="8"/>
          <c:spPr>
            <a:ln w="12700" cap="rnd">
              <a:solidFill>
                <a:schemeClr val="accent3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APPENDIX'!$BY$55:$BY$56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APPENDIX'!$BZ$55:$BZ$56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078-4DFC-87AF-E09EACD85099}"/>
            </c:ext>
          </c:extLst>
        </c:ser>
        <c:ser>
          <c:idx val="9"/>
          <c:order val="9"/>
          <c:tx>
            <c:strRef>
              <c:f>'OPTIONAL FULL MODEL APPENDIX'!$CA$31</c:f>
              <c:strCache>
                <c:ptCount val="1"/>
                <c:pt idx="0">
                  <c:v>base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78-4DFC-87AF-E09EACD85099}"/>
                </c:ext>
              </c:extLst>
            </c:dLbl>
            <c:dLbl>
              <c:idx val="1"/>
              <c:layout>
                <c:manualLayout>
                  <c:x val="-2.5000000000000112E-2"/>
                  <c:y val="4.499437570303713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78-4DFC-87AF-E09EACD85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APPENDIX'!$CA$33:$CA$34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APPENDIX'!$CB$33:$CB$34</c:f>
              <c:numCache>
                <c:formatCode>0.00%</c:formatCode>
                <c:ptCount val="2"/>
                <c:pt idx="0" formatCode="0.0%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078-4DFC-87AF-E09EACD85099}"/>
            </c:ext>
          </c:extLst>
        </c:ser>
        <c:ser>
          <c:idx val="10"/>
          <c:order val="10"/>
          <c:tx>
            <c:strRef>
              <c:f>'OPTIONAL FULL MODEL APPENDIX'!$CA$40</c:f>
              <c:strCache>
                <c:ptCount val="1"/>
                <c:pt idx="0">
                  <c:v>(i)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78-4DFC-87AF-E09EACD85099}"/>
                </c:ext>
              </c:extLst>
            </c:dLbl>
            <c:dLbl>
              <c:idx val="1"/>
              <c:layout>
                <c:manualLayout>
                  <c:x val="-1.9444444444444545E-2"/>
                  <c:y val="1.79976690061324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78-4DFC-87AF-E09EACD85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APPENDIX'!$CA$42:$CA$43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APPENDIX'!$CB$42:$CB$43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078-4DFC-87AF-E09EACD85099}"/>
            </c:ext>
          </c:extLst>
        </c:ser>
        <c:ser>
          <c:idx val="11"/>
          <c:order val="11"/>
          <c:tx>
            <c:strRef>
              <c:f>'OPTIONAL FULL MODEL APPENDIX'!$CA$49</c:f>
              <c:strCache>
                <c:ptCount val="1"/>
                <c:pt idx="0">
                  <c:v>(ii)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78-4DFC-87AF-E09EACD85099}"/>
                </c:ext>
              </c:extLst>
            </c:dLbl>
            <c:dLbl>
              <c:idx val="1"/>
              <c:layout>
                <c:manualLayout>
                  <c:x val="-4.1666666666666782E-2"/>
                  <c:y val="-5.161662775625505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78-4DFC-87AF-E09EACD85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APPENDIX'!$CA$51:$CA$52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APPENDIX'!$CB$51:$CB$52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078-4DFC-87AF-E09EACD85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750432"/>
        <c:axId val="706750824"/>
      </c:scatterChart>
      <c:valAx>
        <c:axId val="706750432"/>
        <c:scaling>
          <c:orientation val="minMax"/>
          <c:max val="5.0000000000000024E-2"/>
          <c:min val="-5.0000000000000024E-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Output gap (in percent)</a:t>
                </a:r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0824"/>
        <c:crossesAt val="-6.0000000000000032E-2"/>
        <c:crossBetween val="midCat"/>
      </c:valAx>
      <c:valAx>
        <c:axId val="706750824"/>
        <c:scaling>
          <c:orientation val="minMax"/>
          <c:max val="9.0000000000000024E-2"/>
          <c:min val="-2.0000000000000011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Inflation rate (in percent)</a:t>
                </a:r>
              </a:p>
            </c:rich>
          </c:tx>
          <c:overlay val="0"/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0432"/>
        <c:crossesAt val="-6.0000000000000032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Net Exports and Real Exchange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7175371712199144"/>
          <c:y val="0.17206698237405921"/>
          <c:w val="0.78663604441325108"/>
          <c:h val="0.6219383274716572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APPENDIX'!$CG$7:$CG$27</c:f>
              <c:numCache>
                <c:formatCode>0.0%</c:formatCode>
                <c:ptCount val="21"/>
                <c:pt idx="0">
                  <c:v>5.914179013873691E-2</c:v>
                </c:pt>
                <c:pt idx="1">
                  <c:v>5.1611233968892403E-2</c:v>
                </c:pt>
                <c:pt idx="2">
                  <c:v>4.4118143252629652E-2</c:v>
                </c:pt>
                <c:pt idx="3">
                  <c:v>3.6662331594656504E-2</c:v>
                </c:pt>
                <c:pt idx="4">
                  <c:v>2.9243613527021553E-2</c:v>
                </c:pt>
                <c:pt idx="5">
                  <c:v>2.1861804504499309E-2</c:v>
                </c:pt>
                <c:pt idx="6">
                  <c:v>1.4516720899999586E-2</c:v>
                </c:pt>
                <c:pt idx="7">
                  <c:v>7.2081799999996823E-3</c:v>
                </c:pt>
                <c:pt idx="8">
                  <c:v>-6.4000000000181967E-5</c:v>
                </c:pt>
                <c:pt idx="9">
                  <c:v>-7.2999999999999446E-3</c:v>
                </c:pt>
                <c:pt idx="10">
                  <c:v>-1.4499999999999791E-2</c:v>
                </c:pt>
                <c:pt idx="11">
                  <c:v>-2.1699999999999796E-2</c:v>
                </c:pt>
                <c:pt idx="12">
                  <c:v>-2.8863999999999886E-2</c:v>
                </c:pt>
                <c:pt idx="13">
                  <c:v>-3.5992179999999763E-2</c:v>
                </c:pt>
                <c:pt idx="14">
                  <c:v>-4.3084719099999863E-2</c:v>
                </c:pt>
                <c:pt idx="15">
                  <c:v>-5.0141795504499979E-2</c:v>
                </c:pt>
                <c:pt idx="16">
                  <c:v>-5.716358652697761E-2</c:v>
                </c:pt>
                <c:pt idx="17">
                  <c:v>-6.4150268594342474E-2</c:v>
                </c:pt>
                <c:pt idx="18">
                  <c:v>-7.1102017251370914E-2</c:v>
                </c:pt>
                <c:pt idx="19">
                  <c:v>-7.8019007165114104E-2</c:v>
                </c:pt>
                <c:pt idx="20">
                  <c:v>-8.4901412129288464E-2</c:v>
                </c:pt>
              </c:numCache>
            </c:numRef>
          </c:xVal>
          <c:yVal>
            <c:numRef>
              <c:f>'OPTIONAL FULL MODEL APPENDIX'!$CE$7:$CE$27</c:f>
              <c:numCache>
                <c:formatCode>0.0</c:formatCode>
                <c:ptCount val="21"/>
                <c:pt idx="0">
                  <c:v>105.11401320407893</c:v>
                </c:pt>
                <c:pt idx="1">
                  <c:v>104.59105791450641</c:v>
                </c:pt>
                <c:pt idx="2">
                  <c:v>104.0707043925437</c:v>
                </c:pt>
                <c:pt idx="3">
                  <c:v>103.55293969407334</c:v>
                </c:pt>
                <c:pt idx="4">
                  <c:v>103.03775093937648</c:v>
                </c:pt>
                <c:pt idx="5">
                  <c:v>102.52512531281243</c:v>
                </c:pt>
                <c:pt idx="6">
                  <c:v>102.01505006249995</c:v>
                </c:pt>
                <c:pt idx="7">
                  <c:v>101.50751249999996</c:v>
                </c:pt>
                <c:pt idx="8">
                  <c:v>101.00249999999997</c:v>
                </c:pt>
                <c:pt idx="9">
                  <c:v>100.49999999999999</c:v>
                </c:pt>
                <c:pt idx="10">
                  <c:v>100</c:v>
                </c:pt>
                <c:pt idx="11">
                  <c:v>99.5</c:v>
                </c:pt>
                <c:pt idx="12">
                  <c:v>99.002499999999998</c:v>
                </c:pt>
                <c:pt idx="13">
                  <c:v>98.507487499999996</c:v>
                </c:pt>
                <c:pt idx="14">
                  <c:v>98.014950062499992</c:v>
                </c:pt>
                <c:pt idx="15">
                  <c:v>97.52487531218749</c:v>
                </c:pt>
                <c:pt idx="16">
                  <c:v>97.037250935626545</c:v>
                </c:pt>
                <c:pt idx="17">
                  <c:v>96.552064680948419</c:v>
                </c:pt>
                <c:pt idx="18">
                  <c:v>96.069304357543672</c:v>
                </c:pt>
                <c:pt idx="19">
                  <c:v>95.588957835755949</c:v>
                </c:pt>
                <c:pt idx="20">
                  <c:v>95.11101304657717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CD-4ACB-A3B5-D4E36B1E6D85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APPENDIX'!$CI$7:$CI$27</c:f>
              <c:numCache>
                <c:formatCode>0.0%</c:formatCode>
                <c:ptCount val="21"/>
                <c:pt idx="0">
                  <c:v>5.914179013873691E-2</c:v>
                </c:pt>
                <c:pt idx="1">
                  <c:v>5.1611233968892403E-2</c:v>
                </c:pt>
                <c:pt idx="2">
                  <c:v>4.4118143252629652E-2</c:v>
                </c:pt>
                <c:pt idx="3">
                  <c:v>3.6662331594656504E-2</c:v>
                </c:pt>
                <c:pt idx="4">
                  <c:v>2.9243613527021553E-2</c:v>
                </c:pt>
                <c:pt idx="5">
                  <c:v>2.1861804504499309E-2</c:v>
                </c:pt>
                <c:pt idx="6">
                  <c:v>1.4516720899999586E-2</c:v>
                </c:pt>
                <c:pt idx="7">
                  <c:v>7.2081799999996823E-3</c:v>
                </c:pt>
                <c:pt idx="8">
                  <c:v>-6.4000000000181967E-5</c:v>
                </c:pt>
                <c:pt idx="9">
                  <c:v>-7.2999999999999446E-3</c:v>
                </c:pt>
                <c:pt idx="10">
                  <c:v>-1.4499999999999791E-2</c:v>
                </c:pt>
                <c:pt idx="11">
                  <c:v>-2.1699999999999796E-2</c:v>
                </c:pt>
                <c:pt idx="12">
                  <c:v>-2.8863999999999886E-2</c:v>
                </c:pt>
                <c:pt idx="13">
                  <c:v>-3.5992179999999763E-2</c:v>
                </c:pt>
                <c:pt idx="14">
                  <c:v>-4.3084719099999863E-2</c:v>
                </c:pt>
                <c:pt idx="15">
                  <c:v>-5.0141795504499979E-2</c:v>
                </c:pt>
                <c:pt idx="16">
                  <c:v>-5.716358652697761E-2</c:v>
                </c:pt>
                <c:pt idx="17">
                  <c:v>-6.4150268594342474E-2</c:v>
                </c:pt>
                <c:pt idx="18">
                  <c:v>-7.1102017251370914E-2</c:v>
                </c:pt>
                <c:pt idx="19">
                  <c:v>-7.8019007165114104E-2</c:v>
                </c:pt>
                <c:pt idx="20">
                  <c:v>-8.4901412129288464E-2</c:v>
                </c:pt>
              </c:numCache>
            </c:numRef>
          </c:xVal>
          <c:yVal>
            <c:numRef>
              <c:f>'OPTIONAL FULL MODEL APPENDIX'!$CE$7:$CE$27</c:f>
              <c:numCache>
                <c:formatCode>0.0</c:formatCode>
                <c:ptCount val="21"/>
                <c:pt idx="0">
                  <c:v>105.11401320407893</c:v>
                </c:pt>
                <c:pt idx="1">
                  <c:v>104.59105791450641</c:v>
                </c:pt>
                <c:pt idx="2">
                  <c:v>104.0707043925437</c:v>
                </c:pt>
                <c:pt idx="3">
                  <c:v>103.55293969407334</c:v>
                </c:pt>
                <c:pt idx="4">
                  <c:v>103.03775093937648</c:v>
                </c:pt>
                <c:pt idx="5">
                  <c:v>102.52512531281243</c:v>
                </c:pt>
                <c:pt idx="6">
                  <c:v>102.01505006249995</c:v>
                </c:pt>
                <c:pt idx="7">
                  <c:v>101.50751249999996</c:v>
                </c:pt>
                <c:pt idx="8">
                  <c:v>101.00249999999997</c:v>
                </c:pt>
                <c:pt idx="9">
                  <c:v>100.49999999999999</c:v>
                </c:pt>
                <c:pt idx="10">
                  <c:v>100</c:v>
                </c:pt>
                <c:pt idx="11">
                  <c:v>99.5</c:v>
                </c:pt>
                <c:pt idx="12">
                  <c:v>99.002499999999998</c:v>
                </c:pt>
                <c:pt idx="13">
                  <c:v>98.507487499999996</c:v>
                </c:pt>
                <c:pt idx="14">
                  <c:v>98.014950062499992</c:v>
                </c:pt>
                <c:pt idx="15">
                  <c:v>97.52487531218749</c:v>
                </c:pt>
                <c:pt idx="16">
                  <c:v>97.037250935626545</c:v>
                </c:pt>
                <c:pt idx="17">
                  <c:v>96.552064680948419</c:v>
                </c:pt>
                <c:pt idx="18">
                  <c:v>96.069304357543672</c:v>
                </c:pt>
                <c:pt idx="19">
                  <c:v>95.588957835755949</c:v>
                </c:pt>
                <c:pt idx="20">
                  <c:v>95.11101304657717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CD-4ACB-A3B5-D4E36B1E6D85}"/>
            </c:ext>
          </c:extLst>
        </c:ser>
        <c:ser>
          <c:idx val="2"/>
          <c:order val="2"/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'OPTIONAL FULL MODEL APPENDIX'!$CK$7:$CK$27</c:f>
              <c:numCache>
                <c:formatCode>0.0%</c:formatCode>
                <c:ptCount val="21"/>
                <c:pt idx="0">
                  <c:v>5.914179013873691E-2</c:v>
                </c:pt>
                <c:pt idx="1">
                  <c:v>5.1611233968892403E-2</c:v>
                </c:pt>
                <c:pt idx="2">
                  <c:v>4.4118143252629652E-2</c:v>
                </c:pt>
                <c:pt idx="3">
                  <c:v>3.6662331594656504E-2</c:v>
                </c:pt>
                <c:pt idx="4">
                  <c:v>2.9243613527021553E-2</c:v>
                </c:pt>
                <c:pt idx="5">
                  <c:v>2.1861804504499309E-2</c:v>
                </c:pt>
                <c:pt idx="6">
                  <c:v>1.4516720899999586E-2</c:v>
                </c:pt>
                <c:pt idx="7">
                  <c:v>7.2081799999996823E-3</c:v>
                </c:pt>
                <c:pt idx="8">
                  <c:v>-6.4000000000181967E-5</c:v>
                </c:pt>
                <c:pt idx="9">
                  <c:v>-7.2999999999999446E-3</c:v>
                </c:pt>
                <c:pt idx="10">
                  <c:v>-1.4499999999999791E-2</c:v>
                </c:pt>
                <c:pt idx="11">
                  <c:v>-2.1699999999999796E-2</c:v>
                </c:pt>
                <c:pt idx="12">
                  <c:v>-2.8863999999999886E-2</c:v>
                </c:pt>
                <c:pt idx="13">
                  <c:v>-3.5992179999999763E-2</c:v>
                </c:pt>
                <c:pt idx="14">
                  <c:v>-4.3084719099999863E-2</c:v>
                </c:pt>
                <c:pt idx="15">
                  <c:v>-5.0141795504499979E-2</c:v>
                </c:pt>
                <c:pt idx="16">
                  <c:v>-5.716358652697761E-2</c:v>
                </c:pt>
                <c:pt idx="17">
                  <c:v>-6.4150268594342474E-2</c:v>
                </c:pt>
                <c:pt idx="18">
                  <c:v>-7.1102017251370914E-2</c:v>
                </c:pt>
                <c:pt idx="19">
                  <c:v>-7.8019007165114104E-2</c:v>
                </c:pt>
                <c:pt idx="20">
                  <c:v>-8.4901412129288464E-2</c:v>
                </c:pt>
              </c:numCache>
            </c:numRef>
          </c:xVal>
          <c:yVal>
            <c:numRef>
              <c:f>'OPTIONAL FULL MODEL APPENDIX'!$CE$7:$CE$27</c:f>
              <c:numCache>
                <c:formatCode>0.0</c:formatCode>
                <c:ptCount val="21"/>
                <c:pt idx="0">
                  <c:v>105.11401320407893</c:v>
                </c:pt>
                <c:pt idx="1">
                  <c:v>104.59105791450641</c:v>
                </c:pt>
                <c:pt idx="2">
                  <c:v>104.0707043925437</c:v>
                </c:pt>
                <c:pt idx="3">
                  <c:v>103.55293969407334</c:v>
                </c:pt>
                <c:pt idx="4">
                  <c:v>103.03775093937648</c:v>
                </c:pt>
                <c:pt idx="5">
                  <c:v>102.52512531281243</c:v>
                </c:pt>
                <c:pt idx="6">
                  <c:v>102.01505006249995</c:v>
                </c:pt>
                <c:pt idx="7">
                  <c:v>101.50751249999996</c:v>
                </c:pt>
                <c:pt idx="8">
                  <c:v>101.00249999999997</c:v>
                </c:pt>
                <c:pt idx="9">
                  <c:v>100.49999999999999</c:v>
                </c:pt>
                <c:pt idx="10">
                  <c:v>100</c:v>
                </c:pt>
                <c:pt idx="11">
                  <c:v>99.5</c:v>
                </c:pt>
                <c:pt idx="12">
                  <c:v>99.002499999999998</c:v>
                </c:pt>
                <c:pt idx="13">
                  <c:v>98.507487499999996</c:v>
                </c:pt>
                <c:pt idx="14">
                  <c:v>98.014950062499992</c:v>
                </c:pt>
                <c:pt idx="15">
                  <c:v>97.52487531218749</c:v>
                </c:pt>
                <c:pt idx="16">
                  <c:v>97.037250935626545</c:v>
                </c:pt>
                <c:pt idx="17">
                  <c:v>96.552064680948419</c:v>
                </c:pt>
                <c:pt idx="18">
                  <c:v>96.069304357543672</c:v>
                </c:pt>
                <c:pt idx="19">
                  <c:v>95.588957835755949</c:v>
                </c:pt>
                <c:pt idx="20">
                  <c:v>95.11101304657717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CD-4ACB-A3B5-D4E36B1E6D85}"/>
            </c:ext>
          </c:extLst>
        </c:ser>
        <c:ser>
          <c:idx val="3"/>
          <c:order val="3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APPENDIX'!$CG$33:$CG$34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APPENDIX'!$CH$33:$CH$34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ACD-4ACB-A3B5-D4E36B1E6D85}"/>
            </c:ext>
          </c:extLst>
        </c:ser>
        <c:ser>
          <c:idx val="4"/>
          <c:order val="4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APPENDIX'!$CI$33:$CI$34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APPENDIX'!$CJ$33:$CJ$34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ACD-4ACB-A3B5-D4E36B1E6D85}"/>
            </c:ext>
          </c:extLst>
        </c:ser>
        <c:ser>
          <c:idx val="5"/>
          <c:order val="5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APPENDIX'!$CG$42:$CG$43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APPENDIX'!$CH$42:$CH$43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ACD-4ACB-A3B5-D4E36B1E6D85}"/>
            </c:ext>
          </c:extLst>
        </c:ser>
        <c:ser>
          <c:idx val="6"/>
          <c:order val="6"/>
          <c:spPr>
            <a:ln w="12700">
              <a:solidFill>
                <a:prstClr val="black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APPENDIX'!$CI$42:$CI$43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APPENDIX'!$CJ$42:$CJ$43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ACD-4ACB-A3B5-D4E36B1E6D85}"/>
            </c:ext>
          </c:extLst>
        </c:ser>
        <c:ser>
          <c:idx val="7"/>
          <c:order val="7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APPENDIX'!$CG$52:$CG$53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APPENDIX'!$CH$52:$CH$53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ACD-4ACB-A3B5-D4E36B1E6D85}"/>
            </c:ext>
          </c:extLst>
        </c:ser>
        <c:ser>
          <c:idx val="8"/>
          <c:order val="8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APPENDIX'!$CI$52:$CI$53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APPENDIX'!$CJ$52:$CJ$53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ACD-4ACB-A3B5-D4E36B1E6D85}"/>
            </c:ext>
          </c:extLst>
        </c:ser>
        <c:ser>
          <c:idx val="9"/>
          <c:order val="9"/>
          <c:tx>
            <c:strRef>
              <c:f>'OPTIONAL FULL MODEL APPENDIX'!$CG$31</c:f>
              <c:strCache>
                <c:ptCount val="1"/>
                <c:pt idx="0">
                  <c:v>base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CD-4ACB-A3B5-D4E36B1E6D85}"/>
                </c:ext>
              </c:extLst>
            </c:dLbl>
            <c:dLbl>
              <c:idx val="1"/>
              <c:layout>
                <c:manualLayout>
                  <c:x val="-1.3949161347862428E-2"/>
                  <c:y val="4.639174504558080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CD-4ACB-A3B5-D4E36B1E6D8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APPENDIX'!$CG$36:$CG$37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APPENDIX'!$CH$36:$CH$37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ACD-4ACB-A3B5-D4E36B1E6D85}"/>
            </c:ext>
          </c:extLst>
        </c:ser>
        <c:ser>
          <c:idx val="10"/>
          <c:order val="10"/>
          <c:tx>
            <c:strRef>
              <c:f>'OPTIONAL FULL MODEL APPENDIX'!$CG$40</c:f>
              <c:strCache>
                <c:ptCount val="1"/>
                <c:pt idx="0">
                  <c:v>(i)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CD-4ACB-A3B5-D4E36B1E6D8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APPENDIX'!$CG$45:$CG$46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APPENDIX'!$CH$45:$CH$46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ACD-4ACB-A3B5-D4E36B1E6D85}"/>
            </c:ext>
          </c:extLst>
        </c:ser>
        <c:ser>
          <c:idx val="11"/>
          <c:order val="11"/>
          <c:tx>
            <c:strRef>
              <c:f>'OPTIONAL FULL MODEL APPENDIX'!$CG$50</c:f>
              <c:strCache>
                <c:ptCount val="1"/>
                <c:pt idx="0">
                  <c:v>(ii)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CD-4ACB-A3B5-D4E36B1E6D85}"/>
                </c:ext>
              </c:extLst>
            </c:dLbl>
            <c:dLbl>
              <c:idx val="1"/>
              <c:layout>
                <c:manualLayout>
                  <c:x val="-1.952904555883965E-2"/>
                  <c:y val="3.247385624257549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CD-4ACB-A3B5-D4E36B1E6D8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APPENDIX'!$CG$55:$CG$56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APPENDIX'!$CH$55:$CH$56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ACD-4ACB-A3B5-D4E36B1E6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751608"/>
        <c:axId val="706752000"/>
      </c:scatterChart>
      <c:valAx>
        <c:axId val="706751608"/>
        <c:scaling>
          <c:orientation val="minMax"/>
          <c:max val="7.0000000000000021E-2"/>
          <c:min val="-7.0000000000000021E-2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Net exports (in percent of potential</a:t>
                </a:r>
                <a:r>
                  <a:rPr lang="en-US" b="0" baseline="0"/>
                  <a:t> output)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26931171364306933"/>
              <c:y val="0.88770844250717507"/>
            </c:manualLayout>
          </c:layout>
          <c:overlay val="0"/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2000"/>
        <c:crosses val="autoZero"/>
        <c:crossBetween val="midCat"/>
      </c:valAx>
      <c:valAx>
        <c:axId val="706752000"/>
        <c:scaling>
          <c:orientation val="minMax"/>
          <c:max val="106"/>
          <c:min val="9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800" b="0"/>
                </a:pPr>
                <a:r>
                  <a:rPr lang="en-US" sz="800" b="0"/>
                  <a:t>Real exchange rate index </a:t>
                </a:r>
              </a:p>
              <a:p>
                <a:pPr>
                  <a:defRPr sz="800" b="0"/>
                </a:pPr>
                <a:r>
                  <a:rPr lang="en-US" sz="800" b="0"/>
                  <a:t>(app -, base=100)</a:t>
                </a:r>
              </a:p>
            </c:rich>
          </c:tx>
          <c:layout>
            <c:manualLayout>
              <c:xMode val="edge"/>
              <c:yMode val="edge"/>
              <c:x val="3.361261807752884E-3"/>
              <c:y val="0.26151886697507193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1608"/>
        <c:crossesAt val="-7.0000000000000021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Net</a:t>
            </a:r>
            <a:r>
              <a:rPr lang="en-US" baseline="0"/>
              <a:t> International Reserves</a:t>
            </a:r>
          </a:p>
          <a:p>
            <a:pPr>
              <a:defRPr/>
            </a:pPr>
            <a:r>
              <a:rPr lang="en-US" sz="900"/>
              <a:t>(Millions of Currency Units)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'Fiscal and CB Dashboard'!$R$54</c:f>
              <c:strCache>
                <c:ptCount val="1"/>
                <c:pt idx="0">
                  <c:v>NIR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'Fiscal and CB Dashboard'!$S$53:$U$53</c:f>
              <c:strCache>
                <c:ptCount val="3"/>
                <c:pt idx="0">
                  <c:v>base</c:v>
                </c:pt>
                <c:pt idx="1">
                  <c:v>alt(i)</c:v>
                </c:pt>
                <c:pt idx="2">
                  <c:v>alt(ii)</c:v>
                </c:pt>
              </c:strCache>
            </c:strRef>
          </c:cat>
          <c:val>
            <c:numRef>
              <c:f>'Fiscal and CB Dashboard'!$S$54:$U$54</c:f>
              <c:numCache>
                <c:formatCode>0.00</c:formatCode>
                <c:ptCount val="3"/>
                <c:pt idx="0">
                  <c:v>40</c:v>
                </c:pt>
                <c:pt idx="1">
                  <c:v>35.570290259514934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58-4152-999E-CAE939020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6755528"/>
        <c:axId val="706755920"/>
      </c:barChart>
      <c:catAx>
        <c:axId val="706755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5920"/>
        <c:crosses val="autoZero"/>
        <c:auto val="1"/>
        <c:lblAlgn val="ctr"/>
        <c:lblOffset val="100"/>
        <c:noMultiLvlLbl val="0"/>
      </c:catAx>
      <c:valAx>
        <c:axId val="70675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5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IS/RR Curve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APPENDIX'!$AP$7:$AP$27</c:f>
              <c:numCache>
                <c:formatCode>0.00%</c:formatCode>
                <c:ptCount val="21"/>
                <c:pt idx="0">
                  <c:v>1.3148325358851676E-2</c:v>
                </c:pt>
                <c:pt idx="1">
                  <c:v>1.4833492822966506E-2</c:v>
                </c:pt>
                <c:pt idx="2">
                  <c:v>1.6518660287081339E-2</c:v>
                </c:pt>
                <c:pt idx="3">
                  <c:v>1.820382775119617E-2</c:v>
                </c:pt>
                <c:pt idx="4">
                  <c:v>1.9888995215311005E-2</c:v>
                </c:pt>
                <c:pt idx="5">
                  <c:v>2.1574162679425836E-2</c:v>
                </c:pt>
                <c:pt idx="6">
                  <c:v>2.3259330143540667E-2</c:v>
                </c:pt>
                <c:pt idx="7">
                  <c:v>2.4944497607655502E-2</c:v>
                </c:pt>
                <c:pt idx="8">
                  <c:v>2.6629665071770333E-2</c:v>
                </c:pt>
                <c:pt idx="9">
                  <c:v>2.8314832535885168E-2</c:v>
                </c:pt>
                <c:pt idx="10">
                  <c:v>0.03</c:v>
                </c:pt>
                <c:pt idx="11">
                  <c:v>3.168516746411483E-2</c:v>
                </c:pt>
                <c:pt idx="12">
                  <c:v>3.3370334928229661E-2</c:v>
                </c:pt>
                <c:pt idx="13">
                  <c:v>3.5055502392344493E-2</c:v>
                </c:pt>
                <c:pt idx="14">
                  <c:v>3.6740669856459331E-2</c:v>
                </c:pt>
                <c:pt idx="15">
                  <c:v>3.8425837320574162E-2</c:v>
                </c:pt>
                <c:pt idx="16">
                  <c:v>4.0111004784688993E-2</c:v>
                </c:pt>
                <c:pt idx="17">
                  <c:v>4.1796172248803831E-2</c:v>
                </c:pt>
                <c:pt idx="18">
                  <c:v>4.3481339712918662E-2</c:v>
                </c:pt>
                <c:pt idx="19">
                  <c:v>4.5166507177033494E-2</c:v>
                </c:pt>
                <c:pt idx="20">
                  <c:v>4.6851674641148325E-2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DD-4824-B1F7-CBDD1759BE57}"/>
            </c:ext>
          </c:extLst>
        </c:ser>
        <c:ser>
          <c:idx val="1"/>
          <c:order val="1"/>
          <c:spPr>
            <a:ln w="1905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APPENDIX'!$AR$7:$AR$27</c:f>
              <c:numCache>
                <c:formatCode>0.00%</c:formatCode>
                <c:ptCount val="21"/>
                <c:pt idx="0">
                  <c:v>1.3148325358851676E-2</c:v>
                </c:pt>
                <c:pt idx="1">
                  <c:v>1.4833492822966506E-2</c:v>
                </c:pt>
                <c:pt idx="2">
                  <c:v>1.6518660287081339E-2</c:v>
                </c:pt>
                <c:pt idx="3">
                  <c:v>1.820382775119617E-2</c:v>
                </c:pt>
                <c:pt idx="4">
                  <c:v>1.9888995215311005E-2</c:v>
                </c:pt>
                <c:pt idx="5">
                  <c:v>2.1574162679425836E-2</c:v>
                </c:pt>
                <c:pt idx="6">
                  <c:v>2.3259330143540667E-2</c:v>
                </c:pt>
                <c:pt idx="7">
                  <c:v>2.4944497607655502E-2</c:v>
                </c:pt>
                <c:pt idx="8">
                  <c:v>2.6629665071770333E-2</c:v>
                </c:pt>
                <c:pt idx="9">
                  <c:v>2.8314832535885168E-2</c:v>
                </c:pt>
                <c:pt idx="10" formatCode="0.0%">
                  <c:v>0.03</c:v>
                </c:pt>
                <c:pt idx="11">
                  <c:v>3.168516746411483E-2</c:v>
                </c:pt>
                <c:pt idx="12">
                  <c:v>3.3370334928229661E-2</c:v>
                </c:pt>
                <c:pt idx="13">
                  <c:v>3.5055502392344493E-2</c:v>
                </c:pt>
                <c:pt idx="14">
                  <c:v>3.6740669856459331E-2</c:v>
                </c:pt>
                <c:pt idx="15">
                  <c:v>3.8425837320574162E-2</c:v>
                </c:pt>
                <c:pt idx="16">
                  <c:v>4.0111004784688993E-2</c:v>
                </c:pt>
                <c:pt idx="17">
                  <c:v>4.1796172248803831E-2</c:v>
                </c:pt>
                <c:pt idx="18">
                  <c:v>4.3481339712918662E-2</c:v>
                </c:pt>
                <c:pt idx="19">
                  <c:v>4.5166507177033494E-2</c:v>
                </c:pt>
                <c:pt idx="20">
                  <c:v>4.6851674641148325E-2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DD-4824-B1F7-CBDD1759BE57}"/>
            </c:ext>
          </c:extLst>
        </c:ser>
        <c:ser>
          <c:idx val="2"/>
          <c:order val="2"/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APPENDIX'!$AT$7:$AT$27</c:f>
              <c:numCache>
                <c:formatCode>0.00%</c:formatCode>
                <c:ptCount val="21"/>
                <c:pt idx="0">
                  <c:v>1.3148325358851676E-2</c:v>
                </c:pt>
                <c:pt idx="1">
                  <c:v>1.4833492822966506E-2</c:v>
                </c:pt>
                <c:pt idx="2">
                  <c:v>1.6518660287081339E-2</c:v>
                </c:pt>
                <c:pt idx="3">
                  <c:v>1.820382775119617E-2</c:v>
                </c:pt>
                <c:pt idx="4">
                  <c:v>1.9888995215311005E-2</c:v>
                </c:pt>
                <c:pt idx="5">
                  <c:v>2.1574162679425836E-2</c:v>
                </c:pt>
                <c:pt idx="6">
                  <c:v>2.3259330143540667E-2</c:v>
                </c:pt>
                <c:pt idx="7">
                  <c:v>2.4944497607655502E-2</c:v>
                </c:pt>
                <c:pt idx="8">
                  <c:v>2.6629665071770333E-2</c:v>
                </c:pt>
                <c:pt idx="9">
                  <c:v>2.8314832535885168E-2</c:v>
                </c:pt>
                <c:pt idx="10">
                  <c:v>0.03</c:v>
                </c:pt>
                <c:pt idx="11">
                  <c:v>3.168516746411483E-2</c:v>
                </c:pt>
                <c:pt idx="12">
                  <c:v>3.3370334928229661E-2</c:v>
                </c:pt>
                <c:pt idx="13">
                  <c:v>3.5055502392344493E-2</c:v>
                </c:pt>
                <c:pt idx="14">
                  <c:v>3.6740669856459331E-2</c:v>
                </c:pt>
                <c:pt idx="15">
                  <c:v>3.8425837320574162E-2</c:v>
                </c:pt>
                <c:pt idx="16">
                  <c:v>4.0111004784688993E-2</c:v>
                </c:pt>
                <c:pt idx="17">
                  <c:v>4.1796172248803831E-2</c:v>
                </c:pt>
                <c:pt idx="18">
                  <c:v>4.3481339712918662E-2</c:v>
                </c:pt>
                <c:pt idx="19">
                  <c:v>4.5166507177033494E-2</c:v>
                </c:pt>
                <c:pt idx="20">
                  <c:v>4.6851674641148325E-2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DD-4824-B1F7-CBDD1759BE57}"/>
            </c:ext>
          </c:extLst>
        </c:ser>
        <c:ser>
          <c:idx val="3"/>
          <c:order val="3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APPENDIX'!$BI$7:$BI$27</c:f>
              <c:numCache>
                <c:formatCode>0.0%</c:formatCode>
                <c:ptCount val="21"/>
                <c:pt idx="0">
                  <c:v>7.2000000000000008E-2</c:v>
                </c:pt>
                <c:pt idx="1">
                  <c:v>6.7799999999999999E-2</c:v>
                </c:pt>
                <c:pt idx="2">
                  <c:v>6.3600000000000004E-2</c:v>
                </c:pt>
                <c:pt idx="3">
                  <c:v>5.9400000000000008E-2</c:v>
                </c:pt>
                <c:pt idx="4">
                  <c:v>5.5199999999999999E-2</c:v>
                </c:pt>
                <c:pt idx="5">
                  <c:v>5.1000000000000004E-2</c:v>
                </c:pt>
                <c:pt idx="6">
                  <c:v>4.6800000000000008E-2</c:v>
                </c:pt>
                <c:pt idx="7">
                  <c:v>4.2599999999999999E-2</c:v>
                </c:pt>
                <c:pt idx="8">
                  <c:v>3.8400000000000004E-2</c:v>
                </c:pt>
                <c:pt idx="9">
                  <c:v>3.4200000000000001E-2</c:v>
                </c:pt>
                <c:pt idx="10">
                  <c:v>0.03</c:v>
                </c:pt>
                <c:pt idx="11">
                  <c:v>2.58E-2</c:v>
                </c:pt>
                <c:pt idx="12">
                  <c:v>2.1600000000000001E-2</c:v>
                </c:pt>
                <c:pt idx="13">
                  <c:v>1.7399999999999999E-2</c:v>
                </c:pt>
                <c:pt idx="14">
                  <c:v>1.3199999999999998E-2</c:v>
                </c:pt>
                <c:pt idx="15">
                  <c:v>8.9999999999999976E-3</c:v>
                </c:pt>
                <c:pt idx="16">
                  <c:v>4.799999999999997E-3</c:v>
                </c:pt>
                <c:pt idx="17">
                  <c:v>5.999999999999929E-4</c:v>
                </c:pt>
                <c:pt idx="18">
                  <c:v>-3.6000000000000042E-3</c:v>
                </c:pt>
                <c:pt idx="19">
                  <c:v>-7.8000000000000014E-3</c:v>
                </c:pt>
                <c:pt idx="20">
                  <c:v>-1.1999999999999999E-2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1DD-4824-B1F7-CBDD1759BE57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APPENDIX'!$BK$7:$BK$27</c:f>
              <c:numCache>
                <c:formatCode>0.0%</c:formatCode>
                <c:ptCount val="21"/>
                <c:pt idx="0">
                  <c:v>7.2000000000000008E-2</c:v>
                </c:pt>
                <c:pt idx="1">
                  <c:v>6.7799999999999999E-2</c:v>
                </c:pt>
                <c:pt idx="2">
                  <c:v>6.3600000000000004E-2</c:v>
                </c:pt>
                <c:pt idx="3">
                  <c:v>5.9400000000000008E-2</c:v>
                </c:pt>
                <c:pt idx="4">
                  <c:v>5.5199999999999999E-2</c:v>
                </c:pt>
                <c:pt idx="5">
                  <c:v>5.1000000000000004E-2</c:v>
                </c:pt>
                <c:pt idx="6">
                  <c:v>4.6800000000000008E-2</c:v>
                </c:pt>
                <c:pt idx="7">
                  <c:v>4.2599999999999999E-2</c:v>
                </c:pt>
                <c:pt idx="8">
                  <c:v>3.8400000000000004E-2</c:v>
                </c:pt>
                <c:pt idx="9">
                  <c:v>3.4200000000000001E-2</c:v>
                </c:pt>
                <c:pt idx="10">
                  <c:v>0.03</c:v>
                </c:pt>
                <c:pt idx="11">
                  <c:v>2.58E-2</c:v>
                </c:pt>
                <c:pt idx="12">
                  <c:v>2.1600000000000001E-2</c:v>
                </c:pt>
                <c:pt idx="13">
                  <c:v>1.7399999999999999E-2</c:v>
                </c:pt>
                <c:pt idx="14">
                  <c:v>1.3199999999999998E-2</c:v>
                </c:pt>
                <c:pt idx="15">
                  <c:v>8.9999999999999976E-3</c:v>
                </c:pt>
                <c:pt idx="16">
                  <c:v>4.799999999999997E-3</c:v>
                </c:pt>
                <c:pt idx="17">
                  <c:v>5.999999999999929E-4</c:v>
                </c:pt>
                <c:pt idx="18">
                  <c:v>-3.6000000000000042E-3</c:v>
                </c:pt>
                <c:pt idx="19">
                  <c:v>-7.8000000000000014E-3</c:v>
                </c:pt>
                <c:pt idx="20">
                  <c:v>-1.1999999999999999E-2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1DD-4824-B1F7-CBDD1759BE57}"/>
            </c:ext>
          </c:extLst>
        </c:ser>
        <c:ser>
          <c:idx val="5"/>
          <c:order val="5"/>
          <c:spPr>
            <a:ln w="19050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APPENDIX'!$BM$7:$BM$27</c:f>
              <c:numCache>
                <c:formatCode>0.0%</c:formatCode>
                <c:ptCount val="21"/>
                <c:pt idx="0">
                  <c:v>7.2000000000000008E-2</c:v>
                </c:pt>
                <c:pt idx="1">
                  <c:v>6.7799999999999999E-2</c:v>
                </c:pt>
                <c:pt idx="2">
                  <c:v>6.3600000000000004E-2</c:v>
                </c:pt>
                <c:pt idx="3">
                  <c:v>5.9400000000000008E-2</c:v>
                </c:pt>
                <c:pt idx="4">
                  <c:v>5.5199999999999999E-2</c:v>
                </c:pt>
                <c:pt idx="5">
                  <c:v>5.1000000000000004E-2</c:v>
                </c:pt>
                <c:pt idx="6">
                  <c:v>4.6800000000000008E-2</c:v>
                </c:pt>
                <c:pt idx="7">
                  <c:v>4.2599999999999999E-2</c:v>
                </c:pt>
                <c:pt idx="8">
                  <c:v>3.8400000000000004E-2</c:v>
                </c:pt>
                <c:pt idx="9">
                  <c:v>3.4200000000000001E-2</c:v>
                </c:pt>
                <c:pt idx="10">
                  <c:v>0.03</c:v>
                </c:pt>
                <c:pt idx="11">
                  <c:v>2.58E-2</c:v>
                </c:pt>
                <c:pt idx="12">
                  <c:v>2.1600000000000001E-2</c:v>
                </c:pt>
                <c:pt idx="13">
                  <c:v>1.7399999999999999E-2</c:v>
                </c:pt>
                <c:pt idx="14">
                  <c:v>1.3199999999999998E-2</c:v>
                </c:pt>
                <c:pt idx="15">
                  <c:v>8.9999999999999976E-3</c:v>
                </c:pt>
                <c:pt idx="16">
                  <c:v>4.799999999999997E-3</c:v>
                </c:pt>
                <c:pt idx="17">
                  <c:v>5.999999999999929E-4</c:v>
                </c:pt>
                <c:pt idx="18">
                  <c:v>-3.6000000000000042E-3</c:v>
                </c:pt>
                <c:pt idx="19">
                  <c:v>-7.8000000000000014E-3</c:v>
                </c:pt>
                <c:pt idx="20">
                  <c:v>-1.1999999999999999E-2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1DD-4824-B1F7-CBDD1759BE57}"/>
            </c:ext>
          </c:extLst>
        </c:ser>
        <c:ser>
          <c:idx val="6"/>
          <c:order val="6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APPENDIX'!$AP$33:$AP$34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APPENDIX'!$AQ$33:$AQ$34</c:f>
              <c:numCache>
                <c:formatCode>0.0%</c:formatCode>
                <c:ptCount val="2"/>
                <c:pt idx="0">
                  <c:v>-0.1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1DD-4824-B1F7-CBDD1759BE57}"/>
            </c:ext>
          </c:extLst>
        </c:ser>
        <c:ser>
          <c:idx val="7"/>
          <c:order val="7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APPENDIX'!$AP$37:$AP$38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APPENDIX'!$AQ$37:$AQ$38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1DD-4824-B1F7-CBDD1759BE57}"/>
            </c:ext>
          </c:extLst>
        </c:ser>
        <c:ser>
          <c:idx val="8"/>
          <c:order val="8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APPENDIX'!$AP$42:$AP$43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APPENDIX'!$AQ$42:$AQ$43</c:f>
              <c:numCache>
                <c:formatCode>0.0%</c:formatCode>
                <c:ptCount val="2"/>
                <c:pt idx="0">
                  <c:v>-0.1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1DD-4824-B1F7-CBDD1759BE57}"/>
            </c:ext>
          </c:extLst>
        </c:ser>
        <c:ser>
          <c:idx val="9"/>
          <c:order val="9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APPENDIX'!$AP$46:$AP$47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APPENDIX'!$AQ$46:$AQ$47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1DD-4824-B1F7-CBDD1759BE57}"/>
            </c:ext>
          </c:extLst>
        </c:ser>
        <c:ser>
          <c:idx val="10"/>
          <c:order val="10"/>
          <c:spPr>
            <a:ln w="12700" cap="rnd">
              <a:solidFill>
                <a:schemeClr val="accent5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APPENDIX'!$AP$51:$AP$52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APPENDIX'!$AQ$51:$AQ$52</c:f>
              <c:numCache>
                <c:formatCode>0.0%</c:formatCode>
                <c:ptCount val="2"/>
                <c:pt idx="0">
                  <c:v>-0.1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1DD-4824-B1F7-CBDD1759BE57}"/>
            </c:ext>
          </c:extLst>
        </c:ser>
        <c:ser>
          <c:idx val="11"/>
          <c:order val="11"/>
          <c:spPr>
            <a:ln w="12700" cap="rnd">
              <a:solidFill>
                <a:schemeClr val="accent6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APPENDIX'!$AP$55:$AP$56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APPENDIX'!$AQ$55:$AQ$56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1DD-4824-B1F7-CBDD1759BE57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APPENDIX'!$AR$33:$AR$34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APPENDIX'!$AS$33:$AS$34</c:f>
              <c:numCache>
                <c:formatCode>0.00%</c:formatCode>
                <c:ptCount val="2"/>
                <c:pt idx="0" formatCode="0.0%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1DD-4824-B1F7-CBDD1759BE57}"/>
            </c:ext>
          </c:extLst>
        </c:ser>
        <c:ser>
          <c:idx val="13"/>
          <c:order val="13"/>
          <c:tx>
            <c:strRef>
              <c:f>'OPTIONAL FULL MODEL APPENDIX'!$AR$31</c:f>
              <c:strCache>
                <c:ptCount val="1"/>
                <c:pt idx="0">
                  <c:v>base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DD-4824-B1F7-CBDD1759BE57}"/>
                </c:ext>
              </c:extLst>
            </c:dLbl>
            <c:dLbl>
              <c:idx val="1"/>
              <c:layout>
                <c:manualLayout>
                  <c:x val="-4.7397766048227243E-2"/>
                  <c:y val="2.771280946425177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DD-4824-B1F7-CBDD1759B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APPENDIX'!$AR$33:$AR$34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APPENDIX'!$AS$33:$AS$34</c:f>
              <c:numCache>
                <c:formatCode>0.00%</c:formatCode>
                <c:ptCount val="2"/>
                <c:pt idx="0" formatCode="0.0%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91DD-4824-B1F7-CBDD1759BE57}"/>
            </c:ext>
          </c:extLst>
        </c:ser>
        <c:ser>
          <c:idx val="14"/>
          <c:order val="14"/>
          <c:tx>
            <c:strRef>
              <c:f>'OPTIONAL FULL MODEL APPENDIX'!$AR$40</c:f>
              <c:strCache>
                <c:ptCount val="1"/>
                <c:pt idx="0">
                  <c:v>(i)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DD-4824-B1F7-CBDD1759BE57}"/>
                </c:ext>
              </c:extLst>
            </c:dLbl>
            <c:dLbl>
              <c:idx val="1"/>
              <c:layout>
                <c:manualLayout>
                  <c:x val="-3.0669142737088272E-2"/>
                  <c:y val="-2.771280946425177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DD-4824-B1F7-CBDD1759B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APPENDIX'!$AR$42:$AR$43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APPENDIX'!$AS$42:$AS$43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91DD-4824-B1F7-CBDD1759BE57}"/>
            </c:ext>
          </c:extLst>
        </c:ser>
        <c:ser>
          <c:idx val="15"/>
          <c:order val="15"/>
          <c:tx>
            <c:strRef>
              <c:f>'OPTIONAL FULL MODEL APPENDIX'!$AR$49</c:f>
              <c:strCache>
                <c:ptCount val="1"/>
                <c:pt idx="0">
                  <c:v>(ii)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DD-4824-B1F7-CBDD1759BE57}"/>
                </c:ext>
              </c:extLst>
            </c:dLbl>
            <c:dLbl>
              <c:idx val="1"/>
              <c:layout>
                <c:manualLayout>
                  <c:x val="-1.6728623311139015E-2"/>
                  <c:y val="-8.467705072203167E-1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DD-4824-B1F7-CBDD1759B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APPENDIX'!$AR$51:$AR$52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APPENDIX'!$AS$51:$AS$52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91DD-4824-B1F7-CBDD1759B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738280"/>
        <c:axId val="706738672"/>
      </c:scatterChart>
      <c:valAx>
        <c:axId val="706738280"/>
        <c:scaling>
          <c:orientation val="minMax"/>
          <c:max val="5.0000000000000024E-2"/>
          <c:min val="-5.0000000000000024E-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Output gap (in percent)</a:t>
                </a:r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38672"/>
        <c:crossesAt val="-6.0000000000000032E-2"/>
        <c:crossBetween val="midCat"/>
      </c:valAx>
      <c:valAx>
        <c:axId val="706738672"/>
        <c:scaling>
          <c:orientation val="minMax"/>
          <c:max val="6.0000000000000032E-2"/>
          <c:min val="-2.0000000000000011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Real interest rate (in percent)</a:t>
                </a:r>
              </a:p>
            </c:rich>
          </c:tx>
          <c:overlay val="0"/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38280"/>
        <c:crossesAt val="-6.0000000000000032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Government</a:t>
            </a:r>
            <a:r>
              <a:rPr lang="en-US" baseline="0"/>
              <a:t> Debt/GDP</a:t>
            </a:r>
          </a:p>
          <a:p>
            <a:pPr>
              <a:defRPr/>
            </a:pPr>
            <a:r>
              <a:rPr lang="en-US" sz="800" baseline="0"/>
              <a:t>(in percent)</a:t>
            </a:r>
            <a:endParaRPr lang="en-US" sz="800"/>
          </a:p>
        </c:rich>
      </c:tx>
      <c:layout>
        <c:manualLayout>
          <c:xMode val="edge"/>
          <c:yMode val="edge"/>
          <c:x val="0.3077500000000000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'Fiscal and CB Dashboard'!$Q$31</c:f>
              <c:strCache>
                <c:ptCount val="1"/>
                <c:pt idx="0">
                  <c:v>Pub Deb/GDP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'Fiscal and CB Dashboard'!$R$30:$T$30</c:f>
              <c:strCache>
                <c:ptCount val="3"/>
                <c:pt idx="0">
                  <c:v>base</c:v>
                </c:pt>
                <c:pt idx="1">
                  <c:v>alt(i)</c:v>
                </c:pt>
                <c:pt idx="2">
                  <c:v>alt(ii)</c:v>
                </c:pt>
              </c:strCache>
            </c:strRef>
          </c:cat>
          <c:val>
            <c:numRef>
              <c:f>'Fiscal and CB Dashboard'!$R$31:$T$31</c:f>
              <c:numCache>
                <c:formatCode>0.0%</c:formatCode>
                <c:ptCount val="3"/>
                <c:pt idx="0">
                  <c:v>0.53896103896103897</c:v>
                </c:pt>
                <c:pt idx="1">
                  <c:v>0.53896103896103897</c:v>
                </c:pt>
                <c:pt idx="2">
                  <c:v>0.53896103896103897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3-40DA-93DB-9409FDF17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6756704"/>
        <c:axId val="706757096"/>
      </c:barChart>
      <c:catAx>
        <c:axId val="70675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7096"/>
        <c:crosses val="autoZero"/>
        <c:auto val="1"/>
        <c:lblAlgn val="ctr"/>
        <c:lblOffset val="100"/>
        <c:noMultiLvlLbl val="0"/>
      </c:catAx>
      <c:valAx>
        <c:axId val="706757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6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Government</a:t>
            </a:r>
            <a:r>
              <a:rPr lang="en-US" baseline="0"/>
              <a:t> Debt/GDP</a:t>
            </a:r>
          </a:p>
          <a:p>
            <a:pPr>
              <a:defRPr/>
            </a:pPr>
            <a:r>
              <a:rPr lang="en-US" sz="800" baseline="0"/>
              <a:t>(in percent)</a:t>
            </a:r>
            <a:endParaRPr lang="en-US" sz="800"/>
          </a:p>
        </c:rich>
      </c:tx>
      <c:layout>
        <c:manualLayout>
          <c:xMode val="edge"/>
          <c:yMode val="edge"/>
          <c:x val="0.3077500000000000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'Fiscal and CB Dashboard'!$Q$31</c:f>
              <c:strCache>
                <c:ptCount val="1"/>
                <c:pt idx="0">
                  <c:v>Pub Deb/GDP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'Fiscal and CB Dashboard'!$R$30:$T$30</c:f>
              <c:strCache>
                <c:ptCount val="3"/>
                <c:pt idx="0">
                  <c:v>base</c:v>
                </c:pt>
                <c:pt idx="1">
                  <c:v>alt(i)</c:v>
                </c:pt>
                <c:pt idx="2">
                  <c:v>alt(ii)</c:v>
                </c:pt>
              </c:strCache>
            </c:strRef>
          </c:cat>
          <c:val>
            <c:numRef>
              <c:f>'Fiscal and CB Dashboard'!$R$31:$T$31</c:f>
              <c:numCache>
                <c:formatCode>0.0%</c:formatCode>
                <c:ptCount val="3"/>
                <c:pt idx="0">
                  <c:v>0.53896103896103897</c:v>
                </c:pt>
                <c:pt idx="1">
                  <c:v>0.53896103896103897</c:v>
                </c:pt>
                <c:pt idx="2">
                  <c:v>0.53896103896103897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F-4E08-B9A6-0F992B0B8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6756704"/>
        <c:axId val="706757096"/>
      </c:barChart>
      <c:catAx>
        <c:axId val="70675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7096"/>
        <c:crosses val="autoZero"/>
        <c:auto val="1"/>
        <c:lblAlgn val="ctr"/>
        <c:lblOffset val="100"/>
        <c:noMultiLvlLbl val="0"/>
      </c:catAx>
      <c:valAx>
        <c:axId val="706757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6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Change in Other Domestic Assets of Central Bank</a:t>
            </a:r>
          </a:p>
          <a:p>
            <a:pPr>
              <a:defRPr/>
            </a:pPr>
            <a:r>
              <a:rPr lang="en-US" sz="900"/>
              <a:t>(Millions  of Currency Units)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'Fiscal and CB Dashboard'!$R$55</c:f>
              <c:strCache>
                <c:ptCount val="1"/>
                <c:pt idx="0">
                  <c:v>D Other Dom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'Fiscal and CB Dashboard'!$S$53:$U$53</c:f>
              <c:strCache>
                <c:ptCount val="3"/>
                <c:pt idx="0">
                  <c:v>base</c:v>
                </c:pt>
                <c:pt idx="1">
                  <c:v>alt(i)</c:v>
                </c:pt>
                <c:pt idx="2">
                  <c:v>alt(ii)</c:v>
                </c:pt>
              </c:strCache>
            </c:strRef>
          </c:cat>
          <c:val>
            <c:numRef>
              <c:f>'Fiscal and CB Dashboard'!$S$55:$U$55</c:f>
              <c:numCache>
                <c:formatCode>0.00</c:formatCode>
                <c:ptCount val="3"/>
                <c:pt idx="0">
                  <c:v>0</c:v>
                </c:pt>
                <c:pt idx="1">
                  <c:v>4.429709740485066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F-453E-9C18-0DD9BEB62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6755528"/>
        <c:axId val="706755920"/>
      </c:barChart>
      <c:catAx>
        <c:axId val="706755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5920"/>
        <c:crosses val="autoZero"/>
        <c:auto val="1"/>
        <c:lblAlgn val="ctr"/>
        <c:lblOffset val="100"/>
        <c:noMultiLvlLbl val="0"/>
      </c:catAx>
      <c:valAx>
        <c:axId val="70675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5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Net</a:t>
            </a:r>
            <a:r>
              <a:rPr lang="en-US" baseline="0"/>
              <a:t> International Reserves</a:t>
            </a:r>
          </a:p>
          <a:p>
            <a:pPr>
              <a:defRPr/>
            </a:pPr>
            <a:r>
              <a:rPr lang="en-US" sz="900"/>
              <a:t>(Billions of Currency Units)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'External Sector Dashboard'!$R$471</c:f>
              <c:strCache>
                <c:ptCount val="1"/>
                <c:pt idx="0">
                  <c:v>NIR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'External Sector Dashboard'!$S$471:$U$471</c:f>
              <c:numCache>
                <c:formatCode>0.00</c:formatCode>
                <c:ptCount val="3"/>
                <c:pt idx="0">
                  <c:v>26.801931751469738</c:v>
                </c:pt>
                <c:pt idx="1">
                  <c:v>26.801931751469738</c:v>
                </c:pt>
                <c:pt idx="2">
                  <c:v>17.129931756507162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'External Sector Dashboard'!$S$470:$U$470</c15:sqref>
                        </c15:formulaRef>
                      </c:ext>
                    </c:extLst>
                    <c:strCache>
                      <c:ptCount val="3"/>
                      <c:pt idx="0">
                        <c:v>base</c:v>
                      </c:pt>
                      <c:pt idx="1">
                        <c:v>alt(i)</c:v>
                      </c:pt>
                      <c:pt idx="2">
                        <c:v>alt(ii)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575-47B3-866F-6543740C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6758272"/>
        <c:axId val="706758664"/>
      </c:barChart>
      <c:catAx>
        <c:axId val="70675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8664"/>
        <c:crosses val="autoZero"/>
        <c:auto val="1"/>
        <c:lblAlgn val="ctr"/>
        <c:lblOffset val="100"/>
        <c:noMultiLvlLbl val="0"/>
      </c:catAx>
      <c:valAx>
        <c:axId val="706758664"/>
        <c:scaling>
          <c:orientation val="minMax"/>
          <c:max val="1.27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Government</a:t>
            </a:r>
            <a:r>
              <a:rPr lang="en-US" baseline="0"/>
              <a:t> Debt/GDP</a:t>
            </a:r>
          </a:p>
          <a:p>
            <a:pPr>
              <a:defRPr/>
            </a:pPr>
            <a:r>
              <a:rPr lang="en-US" sz="800" baseline="0"/>
              <a:t>(in percent)</a:t>
            </a:r>
            <a:endParaRPr lang="en-US" sz="800"/>
          </a:p>
        </c:rich>
      </c:tx>
      <c:layout>
        <c:manualLayout>
          <c:xMode val="edge"/>
          <c:yMode val="edge"/>
          <c:x val="0.3077500000000000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'External Sector Dashboard'!$Q$448</c:f>
              <c:strCache>
                <c:ptCount val="1"/>
                <c:pt idx="0">
                  <c:v>Pub Deb/GDP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'External Sector Dashboard'!$R$448:$T$448</c:f>
              <c:numCache>
                <c:formatCode>0.0%</c:formatCode>
                <c:ptCount val="3"/>
                <c:pt idx="0">
                  <c:v>0.53249999999999997</c:v>
                </c:pt>
                <c:pt idx="1">
                  <c:v>0.53249999999999997</c:v>
                </c:pt>
                <c:pt idx="2">
                  <c:v>0.53249999999999997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'External Sector Dashboard'!$R$447:$T$447</c15:sqref>
                        </c15:formulaRef>
                      </c:ext>
                    </c:extLst>
                    <c:strCache>
                      <c:ptCount val="3"/>
                      <c:pt idx="0">
                        <c:v>base</c:v>
                      </c:pt>
                      <c:pt idx="1">
                        <c:v>alt(i)</c:v>
                      </c:pt>
                      <c:pt idx="2">
                        <c:v>alt(ii)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6E-45F3-9678-B68F4EB78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6759448"/>
        <c:axId val="706759840"/>
      </c:barChart>
      <c:catAx>
        <c:axId val="706759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9840"/>
        <c:crosses val="autoZero"/>
        <c:auto val="1"/>
        <c:lblAlgn val="ctr"/>
        <c:lblOffset val="100"/>
        <c:noMultiLvlLbl val="0"/>
      </c:catAx>
      <c:valAx>
        <c:axId val="70675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59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External Debt / GDP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'External Sector Dashboard'!$J$2:$N$2</c:f>
              <c:strCache>
                <c:ptCount val="5"/>
                <c:pt idx="0">
                  <c:v>base</c:v>
                </c:pt>
                <c:pt idx="2">
                  <c:v>alt(i)</c:v>
                </c:pt>
                <c:pt idx="4">
                  <c:v>alt(ii)</c:v>
                </c:pt>
              </c:strCache>
            </c:strRef>
          </c:cat>
          <c:val>
            <c:numRef>
              <c:f>'External Sector Dashboard'!$J$71:$N$71</c:f>
              <c:numCache>
                <c:formatCode>0.0%</c:formatCode>
                <c:ptCount val="5"/>
                <c:pt idx="0">
                  <c:v>0.30615351911970118</c:v>
                </c:pt>
                <c:pt idx="2">
                  <c:v>0.30252626361247165</c:v>
                </c:pt>
                <c:pt idx="4">
                  <c:v>0.30615351911970101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772-8624-4C55029CB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6760624"/>
        <c:axId val="706761016"/>
      </c:barChart>
      <c:catAx>
        <c:axId val="70676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61016"/>
        <c:crosses val="autoZero"/>
        <c:auto val="1"/>
        <c:lblAlgn val="ctr"/>
        <c:lblOffset val="100"/>
        <c:noMultiLvlLbl val="0"/>
      </c:catAx>
      <c:valAx>
        <c:axId val="706761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6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Internatinal Reserves</a:t>
            </a:r>
          </a:p>
          <a:p>
            <a:pPr>
              <a:defRPr/>
            </a:pPr>
            <a:r>
              <a:rPr lang="en-US"/>
              <a:t>US Dollar (millions)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'External Sector Dashboard'!$J$2:$N$2</c:f>
              <c:strCache>
                <c:ptCount val="5"/>
                <c:pt idx="0">
                  <c:v>base</c:v>
                </c:pt>
                <c:pt idx="2">
                  <c:v>alt(i)</c:v>
                </c:pt>
                <c:pt idx="4">
                  <c:v>alt(ii)</c:v>
                </c:pt>
              </c:strCache>
            </c:strRef>
          </c:cat>
          <c:val>
            <c:numRef>
              <c:f>'External Sector Dashboard'!$J$87:$N$87</c:f>
              <c:numCache>
                <c:formatCode>0.00</c:formatCode>
                <c:ptCount val="5"/>
                <c:pt idx="0">
                  <c:v>13.333333333333334</c:v>
                </c:pt>
                <c:pt idx="2">
                  <c:v>11.90621791454867</c:v>
                </c:pt>
                <c:pt idx="4">
                  <c:v>13.333333333333334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B-4238-86B3-C05B37490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6760624"/>
        <c:axId val="706761016"/>
      </c:barChart>
      <c:catAx>
        <c:axId val="70676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61016"/>
        <c:crosses val="autoZero"/>
        <c:auto val="1"/>
        <c:lblAlgn val="ctr"/>
        <c:lblOffset val="100"/>
        <c:noMultiLvlLbl val="0"/>
      </c:catAx>
      <c:valAx>
        <c:axId val="706761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6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Phillips Curve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APPENDIX'!$BX$7:$BX$27</c:f>
              <c:numCache>
                <c:formatCode>0.0%</c:formatCode>
                <c:ptCount val="21"/>
                <c:pt idx="0">
                  <c:v>5.5E-2</c:v>
                </c:pt>
                <c:pt idx="1">
                  <c:v>5.3999999999999999E-2</c:v>
                </c:pt>
                <c:pt idx="2">
                  <c:v>5.2999999999999999E-2</c:v>
                </c:pt>
                <c:pt idx="3">
                  <c:v>5.1999999999999998E-2</c:v>
                </c:pt>
                <c:pt idx="4">
                  <c:v>5.0999999999999997E-2</c:v>
                </c:pt>
                <c:pt idx="5">
                  <c:v>0.05</c:v>
                </c:pt>
                <c:pt idx="6">
                  <c:v>4.9000000000000002E-2</c:v>
                </c:pt>
                <c:pt idx="7">
                  <c:v>4.8000000000000001E-2</c:v>
                </c:pt>
                <c:pt idx="8">
                  <c:v>4.7E-2</c:v>
                </c:pt>
                <c:pt idx="9">
                  <c:v>4.5999999999999999E-2</c:v>
                </c:pt>
                <c:pt idx="10">
                  <c:v>4.4999999999999998E-2</c:v>
                </c:pt>
                <c:pt idx="11">
                  <c:v>4.3999999999999997E-2</c:v>
                </c:pt>
                <c:pt idx="12">
                  <c:v>4.2999999999999997E-2</c:v>
                </c:pt>
                <c:pt idx="13">
                  <c:v>4.1999999999999996E-2</c:v>
                </c:pt>
                <c:pt idx="14">
                  <c:v>4.0999999999999995E-2</c:v>
                </c:pt>
                <c:pt idx="15">
                  <c:v>3.9999999999999994E-2</c:v>
                </c:pt>
                <c:pt idx="16">
                  <c:v>3.9E-2</c:v>
                </c:pt>
                <c:pt idx="17">
                  <c:v>3.7999999999999999E-2</c:v>
                </c:pt>
                <c:pt idx="18">
                  <c:v>3.6999999999999998E-2</c:v>
                </c:pt>
                <c:pt idx="19">
                  <c:v>3.5999999999999997E-2</c:v>
                </c:pt>
                <c:pt idx="20">
                  <c:v>3.4999999999999996E-2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6E-4190-974C-8D618E3C71EF}"/>
            </c:ext>
          </c:extLst>
        </c:ser>
        <c:ser>
          <c:idx val="1"/>
          <c:order val="1"/>
          <c:spPr>
            <a:ln w="1905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APPENDIX'!$BZ$7:$BZ$27</c:f>
              <c:numCache>
                <c:formatCode>0.0%</c:formatCode>
                <c:ptCount val="21"/>
                <c:pt idx="0">
                  <c:v>5.5E-2</c:v>
                </c:pt>
                <c:pt idx="1">
                  <c:v>5.3999999999999999E-2</c:v>
                </c:pt>
                <c:pt idx="2">
                  <c:v>5.2999999999999999E-2</c:v>
                </c:pt>
                <c:pt idx="3">
                  <c:v>5.1999999999999998E-2</c:v>
                </c:pt>
                <c:pt idx="4">
                  <c:v>5.0999999999999997E-2</c:v>
                </c:pt>
                <c:pt idx="5">
                  <c:v>0.05</c:v>
                </c:pt>
                <c:pt idx="6">
                  <c:v>4.9000000000000002E-2</c:v>
                </c:pt>
                <c:pt idx="7">
                  <c:v>4.8000000000000001E-2</c:v>
                </c:pt>
                <c:pt idx="8">
                  <c:v>4.7E-2</c:v>
                </c:pt>
                <c:pt idx="9">
                  <c:v>4.5999999999999999E-2</c:v>
                </c:pt>
                <c:pt idx="10">
                  <c:v>4.4999999999999998E-2</c:v>
                </c:pt>
                <c:pt idx="11">
                  <c:v>4.3999999999999997E-2</c:v>
                </c:pt>
                <c:pt idx="12">
                  <c:v>4.2999999999999997E-2</c:v>
                </c:pt>
                <c:pt idx="13">
                  <c:v>4.1999999999999996E-2</c:v>
                </c:pt>
                <c:pt idx="14">
                  <c:v>4.0999999999999995E-2</c:v>
                </c:pt>
                <c:pt idx="15">
                  <c:v>3.9999999999999994E-2</c:v>
                </c:pt>
                <c:pt idx="16">
                  <c:v>3.9E-2</c:v>
                </c:pt>
                <c:pt idx="17">
                  <c:v>3.7999999999999999E-2</c:v>
                </c:pt>
                <c:pt idx="18">
                  <c:v>3.6999999999999998E-2</c:v>
                </c:pt>
                <c:pt idx="19">
                  <c:v>3.5999999999999997E-2</c:v>
                </c:pt>
                <c:pt idx="20">
                  <c:v>3.4999999999999996E-2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6E-4190-974C-8D618E3C71EF}"/>
            </c:ext>
          </c:extLst>
        </c:ser>
        <c:ser>
          <c:idx val="2"/>
          <c:order val="2"/>
          <c:spPr>
            <a:ln w="19050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APPENDIX'!$CB$7:$CB$27</c:f>
              <c:numCache>
                <c:formatCode>0.0%</c:formatCode>
                <c:ptCount val="21"/>
                <c:pt idx="0">
                  <c:v>5.5E-2</c:v>
                </c:pt>
                <c:pt idx="1">
                  <c:v>5.3999999999999999E-2</c:v>
                </c:pt>
                <c:pt idx="2">
                  <c:v>5.2999999999999999E-2</c:v>
                </c:pt>
                <c:pt idx="3">
                  <c:v>5.1999999999999998E-2</c:v>
                </c:pt>
                <c:pt idx="4">
                  <c:v>5.0999999999999997E-2</c:v>
                </c:pt>
                <c:pt idx="5">
                  <c:v>0.05</c:v>
                </c:pt>
                <c:pt idx="6">
                  <c:v>4.9000000000000002E-2</c:v>
                </c:pt>
                <c:pt idx="7">
                  <c:v>4.8000000000000001E-2</c:v>
                </c:pt>
                <c:pt idx="8">
                  <c:v>4.7E-2</c:v>
                </c:pt>
                <c:pt idx="9">
                  <c:v>4.5999999999999999E-2</c:v>
                </c:pt>
                <c:pt idx="10">
                  <c:v>4.4999999999999998E-2</c:v>
                </c:pt>
                <c:pt idx="11">
                  <c:v>4.3999999999999997E-2</c:v>
                </c:pt>
                <c:pt idx="12">
                  <c:v>4.2999999999999997E-2</c:v>
                </c:pt>
                <c:pt idx="13">
                  <c:v>4.1999999999999996E-2</c:v>
                </c:pt>
                <c:pt idx="14">
                  <c:v>4.0999999999999995E-2</c:v>
                </c:pt>
                <c:pt idx="15">
                  <c:v>3.9999999999999994E-2</c:v>
                </c:pt>
                <c:pt idx="16">
                  <c:v>3.9E-2</c:v>
                </c:pt>
                <c:pt idx="17">
                  <c:v>3.7999999999999999E-2</c:v>
                </c:pt>
                <c:pt idx="18">
                  <c:v>3.6999999999999998E-2</c:v>
                </c:pt>
                <c:pt idx="19">
                  <c:v>3.5999999999999997E-2</c:v>
                </c:pt>
                <c:pt idx="20">
                  <c:v>3.4999999999999996E-2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B6E-4190-974C-8D618E3C71EF}"/>
            </c:ext>
          </c:extLst>
        </c:ser>
        <c:ser>
          <c:idx val="3"/>
          <c:order val="3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APPENDIX'!$BY$33:$BY$34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APPENDIX'!$BZ$33:$BZ$34</c:f>
              <c:numCache>
                <c:formatCode>0.0%</c:formatCode>
                <c:ptCount val="2"/>
                <c:pt idx="0">
                  <c:v>-0.1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B6E-4190-974C-8D618E3C71EF}"/>
            </c:ext>
          </c:extLst>
        </c:ser>
        <c:ser>
          <c:idx val="4"/>
          <c:order val="4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APPENDIX'!$BY$37:$BY$38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APPENDIX'!$BZ$37:$BZ$38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B6E-4190-974C-8D618E3C71EF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1"/>
            <c:bubble3D val="0"/>
            <c:spPr>
              <a:ln w="12700" cap="rnd">
                <a:solidFill>
                  <a:schemeClr val="tx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B6E-4190-974C-8D618E3C71EF}"/>
              </c:ext>
            </c:extLst>
          </c:dPt>
          <c:xVal>
            <c:numRef>
              <c:f>'OPTIONAL FULL MODEL APPENDIX'!$BY$42:$BY$43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APPENDIX'!$BZ$42:$BZ$43</c:f>
              <c:numCache>
                <c:formatCode>0.0%</c:formatCode>
                <c:ptCount val="2"/>
                <c:pt idx="0">
                  <c:v>-0.1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B6E-4190-974C-8D618E3C71EF}"/>
            </c:ext>
          </c:extLst>
        </c:ser>
        <c:ser>
          <c:idx val="6"/>
          <c:order val="6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APPENDIX'!$BY$46:$BY$47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APPENDIX'!$BZ$46:$BZ$47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B6E-4190-974C-8D618E3C71EF}"/>
            </c:ext>
          </c:extLst>
        </c:ser>
        <c:ser>
          <c:idx val="7"/>
          <c:order val="7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APPENDIX'!$BY$51:$BY$52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APPENDIX'!$BZ$51:$BZ$52</c:f>
              <c:numCache>
                <c:formatCode>0.0%</c:formatCode>
                <c:ptCount val="2"/>
                <c:pt idx="0">
                  <c:v>-0.1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B6E-4190-974C-8D618E3C71EF}"/>
            </c:ext>
          </c:extLst>
        </c:ser>
        <c:ser>
          <c:idx val="8"/>
          <c:order val="8"/>
          <c:spPr>
            <a:ln w="12700" cap="rnd">
              <a:solidFill>
                <a:schemeClr val="accent3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APPENDIX'!$BY$55:$BY$56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APPENDIX'!$BZ$55:$BZ$56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B6E-4190-974C-8D618E3C71EF}"/>
            </c:ext>
          </c:extLst>
        </c:ser>
        <c:ser>
          <c:idx val="9"/>
          <c:order val="9"/>
          <c:tx>
            <c:strRef>
              <c:f>'OPTIONAL FULL MODEL APPENDIX'!$CA$31</c:f>
              <c:strCache>
                <c:ptCount val="1"/>
                <c:pt idx="0">
                  <c:v>base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6E-4190-974C-8D618E3C71EF}"/>
                </c:ext>
              </c:extLst>
            </c:dLbl>
            <c:dLbl>
              <c:idx val="1"/>
              <c:layout>
                <c:manualLayout>
                  <c:x val="-2.5000000000000112E-2"/>
                  <c:y val="4.499437570303713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6E-4190-974C-8D618E3C7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APPENDIX'!$CA$33:$CA$34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APPENDIX'!$CB$33:$CB$34</c:f>
              <c:numCache>
                <c:formatCode>0.00%</c:formatCode>
                <c:ptCount val="2"/>
                <c:pt idx="0" formatCode="0.0%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B6E-4190-974C-8D618E3C71EF}"/>
            </c:ext>
          </c:extLst>
        </c:ser>
        <c:ser>
          <c:idx val="10"/>
          <c:order val="10"/>
          <c:tx>
            <c:strRef>
              <c:f>'OPTIONAL FULL MODEL APPENDIX'!$CA$40</c:f>
              <c:strCache>
                <c:ptCount val="1"/>
                <c:pt idx="0">
                  <c:v>(i)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6E-4190-974C-8D618E3C71EF}"/>
                </c:ext>
              </c:extLst>
            </c:dLbl>
            <c:dLbl>
              <c:idx val="1"/>
              <c:layout>
                <c:manualLayout>
                  <c:x val="-1.9444444444444545E-2"/>
                  <c:y val="1.79976690061324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6E-4190-974C-8D618E3C7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APPENDIX'!$CA$42:$CA$43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APPENDIX'!$CB$42:$CB$43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B6E-4190-974C-8D618E3C71EF}"/>
            </c:ext>
          </c:extLst>
        </c:ser>
        <c:ser>
          <c:idx val="11"/>
          <c:order val="11"/>
          <c:tx>
            <c:strRef>
              <c:f>'OPTIONAL FULL MODEL APPENDIX'!$CA$49</c:f>
              <c:strCache>
                <c:ptCount val="1"/>
                <c:pt idx="0">
                  <c:v>(ii)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6E-4190-974C-8D618E3C71EF}"/>
                </c:ext>
              </c:extLst>
            </c:dLbl>
            <c:dLbl>
              <c:idx val="1"/>
              <c:layout>
                <c:manualLayout>
                  <c:x val="-4.1666666666666782E-2"/>
                  <c:y val="-5.161662775625505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6E-4190-974C-8D618E3C7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APPENDIX'!$CA$51:$CA$52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APPENDIX'!$CB$51:$CB$52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B6E-4190-974C-8D618E3C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736712"/>
        <c:axId val="706736320"/>
      </c:scatterChart>
      <c:valAx>
        <c:axId val="706736712"/>
        <c:scaling>
          <c:orientation val="minMax"/>
          <c:max val="5.0000000000000024E-2"/>
          <c:min val="-5.0000000000000024E-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Output gap (in percent)</a:t>
                </a:r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36320"/>
        <c:crossesAt val="-6.0000000000000032E-2"/>
        <c:crossBetween val="midCat"/>
      </c:valAx>
      <c:valAx>
        <c:axId val="706736320"/>
        <c:scaling>
          <c:orientation val="minMax"/>
          <c:max val="9.0000000000000024E-2"/>
          <c:min val="-2.0000000000000011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Inflation rate (in percent)</a:t>
                </a:r>
              </a:p>
            </c:rich>
          </c:tx>
          <c:overlay val="0"/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36712"/>
        <c:crossesAt val="-6.0000000000000032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Net Exports and Real Exchange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7175371712199144"/>
          <c:y val="0.17206698237405921"/>
          <c:w val="0.78663604441325108"/>
          <c:h val="0.6219383274716572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APPENDIX'!$CG$7:$CG$27</c:f>
              <c:numCache>
                <c:formatCode>0.0%</c:formatCode>
                <c:ptCount val="21"/>
                <c:pt idx="0">
                  <c:v>5.914179013873691E-2</c:v>
                </c:pt>
                <c:pt idx="1">
                  <c:v>5.1611233968892403E-2</c:v>
                </c:pt>
                <c:pt idx="2">
                  <c:v>4.4118143252629652E-2</c:v>
                </c:pt>
                <c:pt idx="3">
                  <c:v>3.6662331594656504E-2</c:v>
                </c:pt>
                <c:pt idx="4">
                  <c:v>2.9243613527021553E-2</c:v>
                </c:pt>
                <c:pt idx="5">
                  <c:v>2.1861804504499309E-2</c:v>
                </c:pt>
                <c:pt idx="6">
                  <c:v>1.4516720899999586E-2</c:v>
                </c:pt>
                <c:pt idx="7">
                  <c:v>7.2081799999996823E-3</c:v>
                </c:pt>
                <c:pt idx="8">
                  <c:v>-6.4000000000181967E-5</c:v>
                </c:pt>
                <c:pt idx="9">
                  <c:v>-7.2999999999999446E-3</c:v>
                </c:pt>
                <c:pt idx="10">
                  <c:v>-1.4499999999999791E-2</c:v>
                </c:pt>
                <c:pt idx="11">
                  <c:v>-2.1699999999999796E-2</c:v>
                </c:pt>
                <c:pt idx="12">
                  <c:v>-2.8863999999999886E-2</c:v>
                </c:pt>
                <c:pt idx="13">
                  <c:v>-3.5992179999999763E-2</c:v>
                </c:pt>
                <c:pt idx="14">
                  <c:v>-4.3084719099999863E-2</c:v>
                </c:pt>
                <c:pt idx="15">
                  <c:v>-5.0141795504499979E-2</c:v>
                </c:pt>
                <c:pt idx="16">
                  <c:v>-5.716358652697761E-2</c:v>
                </c:pt>
                <c:pt idx="17">
                  <c:v>-6.4150268594342474E-2</c:v>
                </c:pt>
                <c:pt idx="18">
                  <c:v>-7.1102017251370914E-2</c:v>
                </c:pt>
                <c:pt idx="19">
                  <c:v>-7.8019007165114104E-2</c:v>
                </c:pt>
                <c:pt idx="20">
                  <c:v>-8.4901412129288464E-2</c:v>
                </c:pt>
              </c:numCache>
            </c:numRef>
          </c:xVal>
          <c:yVal>
            <c:numRef>
              <c:f>'OPTIONAL FULL MODEL APPENDIX'!$CE$7:$CE$27</c:f>
              <c:numCache>
                <c:formatCode>0.0</c:formatCode>
                <c:ptCount val="21"/>
                <c:pt idx="0">
                  <c:v>105.11401320407893</c:v>
                </c:pt>
                <c:pt idx="1">
                  <c:v>104.59105791450641</c:v>
                </c:pt>
                <c:pt idx="2">
                  <c:v>104.0707043925437</c:v>
                </c:pt>
                <c:pt idx="3">
                  <c:v>103.55293969407334</c:v>
                </c:pt>
                <c:pt idx="4">
                  <c:v>103.03775093937648</c:v>
                </c:pt>
                <c:pt idx="5">
                  <c:v>102.52512531281243</c:v>
                </c:pt>
                <c:pt idx="6">
                  <c:v>102.01505006249995</c:v>
                </c:pt>
                <c:pt idx="7">
                  <c:v>101.50751249999996</c:v>
                </c:pt>
                <c:pt idx="8">
                  <c:v>101.00249999999997</c:v>
                </c:pt>
                <c:pt idx="9">
                  <c:v>100.49999999999999</c:v>
                </c:pt>
                <c:pt idx="10">
                  <c:v>100</c:v>
                </c:pt>
                <c:pt idx="11">
                  <c:v>99.5</c:v>
                </c:pt>
                <c:pt idx="12">
                  <c:v>99.002499999999998</c:v>
                </c:pt>
                <c:pt idx="13">
                  <c:v>98.507487499999996</c:v>
                </c:pt>
                <c:pt idx="14">
                  <c:v>98.014950062499992</c:v>
                </c:pt>
                <c:pt idx="15">
                  <c:v>97.52487531218749</c:v>
                </c:pt>
                <c:pt idx="16">
                  <c:v>97.037250935626545</c:v>
                </c:pt>
                <c:pt idx="17">
                  <c:v>96.552064680948419</c:v>
                </c:pt>
                <c:pt idx="18">
                  <c:v>96.069304357543672</c:v>
                </c:pt>
                <c:pt idx="19">
                  <c:v>95.588957835755949</c:v>
                </c:pt>
                <c:pt idx="20">
                  <c:v>95.11101304657717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87-4033-9270-98DF86805365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APPENDIX'!$CI$7:$CI$27</c:f>
              <c:numCache>
                <c:formatCode>0.0%</c:formatCode>
                <c:ptCount val="21"/>
                <c:pt idx="0">
                  <c:v>5.914179013873691E-2</c:v>
                </c:pt>
                <c:pt idx="1">
                  <c:v>5.1611233968892403E-2</c:v>
                </c:pt>
                <c:pt idx="2">
                  <c:v>4.4118143252629652E-2</c:v>
                </c:pt>
                <c:pt idx="3">
                  <c:v>3.6662331594656504E-2</c:v>
                </c:pt>
                <c:pt idx="4">
                  <c:v>2.9243613527021553E-2</c:v>
                </c:pt>
                <c:pt idx="5">
                  <c:v>2.1861804504499309E-2</c:v>
                </c:pt>
                <c:pt idx="6">
                  <c:v>1.4516720899999586E-2</c:v>
                </c:pt>
                <c:pt idx="7">
                  <c:v>7.2081799999996823E-3</c:v>
                </c:pt>
                <c:pt idx="8">
                  <c:v>-6.4000000000181967E-5</c:v>
                </c:pt>
                <c:pt idx="9">
                  <c:v>-7.2999999999999446E-3</c:v>
                </c:pt>
                <c:pt idx="10">
                  <c:v>-1.4499999999999791E-2</c:v>
                </c:pt>
                <c:pt idx="11">
                  <c:v>-2.1699999999999796E-2</c:v>
                </c:pt>
                <c:pt idx="12">
                  <c:v>-2.8863999999999886E-2</c:v>
                </c:pt>
                <c:pt idx="13">
                  <c:v>-3.5992179999999763E-2</c:v>
                </c:pt>
                <c:pt idx="14">
                  <c:v>-4.3084719099999863E-2</c:v>
                </c:pt>
                <c:pt idx="15">
                  <c:v>-5.0141795504499979E-2</c:v>
                </c:pt>
                <c:pt idx="16">
                  <c:v>-5.716358652697761E-2</c:v>
                </c:pt>
                <c:pt idx="17">
                  <c:v>-6.4150268594342474E-2</c:v>
                </c:pt>
                <c:pt idx="18">
                  <c:v>-7.1102017251370914E-2</c:v>
                </c:pt>
                <c:pt idx="19">
                  <c:v>-7.8019007165114104E-2</c:v>
                </c:pt>
                <c:pt idx="20">
                  <c:v>-8.4901412129288464E-2</c:v>
                </c:pt>
              </c:numCache>
            </c:numRef>
          </c:xVal>
          <c:yVal>
            <c:numRef>
              <c:f>'OPTIONAL FULL MODEL APPENDIX'!$CE$7:$CE$27</c:f>
              <c:numCache>
                <c:formatCode>0.0</c:formatCode>
                <c:ptCount val="21"/>
                <c:pt idx="0">
                  <c:v>105.11401320407893</c:v>
                </c:pt>
                <c:pt idx="1">
                  <c:v>104.59105791450641</c:v>
                </c:pt>
                <c:pt idx="2">
                  <c:v>104.0707043925437</c:v>
                </c:pt>
                <c:pt idx="3">
                  <c:v>103.55293969407334</c:v>
                </c:pt>
                <c:pt idx="4">
                  <c:v>103.03775093937648</c:v>
                </c:pt>
                <c:pt idx="5">
                  <c:v>102.52512531281243</c:v>
                </c:pt>
                <c:pt idx="6">
                  <c:v>102.01505006249995</c:v>
                </c:pt>
                <c:pt idx="7">
                  <c:v>101.50751249999996</c:v>
                </c:pt>
                <c:pt idx="8">
                  <c:v>101.00249999999997</c:v>
                </c:pt>
                <c:pt idx="9">
                  <c:v>100.49999999999999</c:v>
                </c:pt>
                <c:pt idx="10">
                  <c:v>100</c:v>
                </c:pt>
                <c:pt idx="11">
                  <c:v>99.5</c:v>
                </c:pt>
                <c:pt idx="12">
                  <c:v>99.002499999999998</c:v>
                </c:pt>
                <c:pt idx="13">
                  <c:v>98.507487499999996</c:v>
                </c:pt>
                <c:pt idx="14">
                  <c:v>98.014950062499992</c:v>
                </c:pt>
                <c:pt idx="15">
                  <c:v>97.52487531218749</c:v>
                </c:pt>
                <c:pt idx="16">
                  <c:v>97.037250935626545</c:v>
                </c:pt>
                <c:pt idx="17">
                  <c:v>96.552064680948419</c:v>
                </c:pt>
                <c:pt idx="18">
                  <c:v>96.069304357543672</c:v>
                </c:pt>
                <c:pt idx="19">
                  <c:v>95.588957835755949</c:v>
                </c:pt>
                <c:pt idx="20">
                  <c:v>95.11101304657717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87-4033-9270-98DF86805365}"/>
            </c:ext>
          </c:extLst>
        </c:ser>
        <c:ser>
          <c:idx val="2"/>
          <c:order val="2"/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'OPTIONAL FULL MODEL APPENDIX'!$CK$7:$CK$27</c:f>
              <c:numCache>
                <c:formatCode>0.0%</c:formatCode>
                <c:ptCount val="21"/>
                <c:pt idx="0">
                  <c:v>5.914179013873691E-2</c:v>
                </c:pt>
                <c:pt idx="1">
                  <c:v>5.1611233968892403E-2</c:v>
                </c:pt>
                <c:pt idx="2">
                  <c:v>4.4118143252629652E-2</c:v>
                </c:pt>
                <c:pt idx="3">
                  <c:v>3.6662331594656504E-2</c:v>
                </c:pt>
                <c:pt idx="4">
                  <c:v>2.9243613527021553E-2</c:v>
                </c:pt>
                <c:pt idx="5">
                  <c:v>2.1861804504499309E-2</c:v>
                </c:pt>
                <c:pt idx="6">
                  <c:v>1.4516720899999586E-2</c:v>
                </c:pt>
                <c:pt idx="7">
                  <c:v>7.2081799999996823E-3</c:v>
                </c:pt>
                <c:pt idx="8">
                  <c:v>-6.4000000000181967E-5</c:v>
                </c:pt>
                <c:pt idx="9">
                  <c:v>-7.2999999999999446E-3</c:v>
                </c:pt>
                <c:pt idx="10">
                  <c:v>-1.4499999999999791E-2</c:v>
                </c:pt>
                <c:pt idx="11">
                  <c:v>-2.1699999999999796E-2</c:v>
                </c:pt>
                <c:pt idx="12">
                  <c:v>-2.8863999999999886E-2</c:v>
                </c:pt>
                <c:pt idx="13">
                  <c:v>-3.5992179999999763E-2</c:v>
                </c:pt>
                <c:pt idx="14">
                  <c:v>-4.3084719099999863E-2</c:v>
                </c:pt>
                <c:pt idx="15">
                  <c:v>-5.0141795504499979E-2</c:v>
                </c:pt>
                <c:pt idx="16">
                  <c:v>-5.716358652697761E-2</c:v>
                </c:pt>
                <c:pt idx="17">
                  <c:v>-6.4150268594342474E-2</c:v>
                </c:pt>
                <c:pt idx="18">
                  <c:v>-7.1102017251370914E-2</c:v>
                </c:pt>
                <c:pt idx="19">
                  <c:v>-7.8019007165114104E-2</c:v>
                </c:pt>
                <c:pt idx="20">
                  <c:v>-8.4901412129288464E-2</c:v>
                </c:pt>
              </c:numCache>
            </c:numRef>
          </c:xVal>
          <c:yVal>
            <c:numRef>
              <c:f>'OPTIONAL FULL MODEL APPENDIX'!$CE$7:$CE$27</c:f>
              <c:numCache>
                <c:formatCode>0.0</c:formatCode>
                <c:ptCount val="21"/>
                <c:pt idx="0">
                  <c:v>105.11401320407893</c:v>
                </c:pt>
                <c:pt idx="1">
                  <c:v>104.59105791450641</c:v>
                </c:pt>
                <c:pt idx="2">
                  <c:v>104.0707043925437</c:v>
                </c:pt>
                <c:pt idx="3">
                  <c:v>103.55293969407334</c:v>
                </c:pt>
                <c:pt idx="4">
                  <c:v>103.03775093937648</c:v>
                </c:pt>
                <c:pt idx="5">
                  <c:v>102.52512531281243</c:v>
                </c:pt>
                <c:pt idx="6">
                  <c:v>102.01505006249995</c:v>
                </c:pt>
                <c:pt idx="7">
                  <c:v>101.50751249999996</c:v>
                </c:pt>
                <c:pt idx="8">
                  <c:v>101.00249999999997</c:v>
                </c:pt>
                <c:pt idx="9">
                  <c:v>100.49999999999999</c:v>
                </c:pt>
                <c:pt idx="10">
                  <c:v>100</c:v>
                </c:pt>
                <c:pt idx="11">
                  <c:v>99.5</c:v>
                </c:pt>
                <c:pt idx="12">
                  <c:v>99.002499999999998</c:v>
                </c:pt>
                <c:pt idx="13">
                  <c:v>98.507487499999996</c:v>
                </c:pt>
                <c:pt idx="14">
                  <c:v>98.014950062499992</c:v>
                </c:pt>
                <c:pt idx="15">
                  <c:v>97.52487531218749</c:v>
                </c:pt>
                <c:pt idx="16">
                  <c:v>97.037250935626545</c:v>
                </c:pt>
                <c:pt idx="17">
                  <c:v>96.552064680948419</c:v>
                </c:pt>
                <c:pt idx="18">
                  <c:v>96.069304357543672</c:v>
                </c:pt>
                <c:pt idx="19">
                  <c:v>95.588957835755949</c:v>
                </c:pt>
                <c:pt idx="20">
                  <c:v>95.11101304657717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87-4033-9270-98DF86805365}"/>
            </c:ext>
          </c:extLst>
        </c:ser>
        <c:ser>
          <c:idx val="3"/>
          <c:order val="3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APPENDIX'!$CG$33:$CG$34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APPENDIX'!$CH$33:$CH$34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187-4033-9270-98DF86805365}"/>
            </c:ext>
          </c:extLst>
        </c:ser>
        <c:ser>
          <c:idx val="4"/>
          <c:order val="4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APPENDIX'!$CI$33:$CI$34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APPENDIX'!$CJ$33:$CJ$34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187-4033-9270-98DF86805365}"/>
            </c:ext>
          </c:extLst>
        </c:ser>
        <c:ser>
          <c:idx val="5"/>
          <c:order val="5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APPENDIX'!$CG$42:$CG$43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APPENDIX'!$CH$42:$CH$43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187-4033-9270-98DF86805365}"/>
            </c:ext>
          </c:extLst>
        </c:ser>
        <c:ser>
          <c:idx val="6"/>
          <c:order val="6"/>
          <c:spPr>
            <a:ln w="12700">
              <a:solidFill>
                <a:prstClr val="black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APPENDIX'!$CI$42:$CI$43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APPENDIX'!$CJ$42:$CJ$43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187-4033-9270-98DF86805365}"/>
            </c:ext>
          </c:extLst>
        </c:ser>
        <c:ser>
          <c:idx val="7"/>
          <c:order val="7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APPENDIX'!$CG$52:$CG$53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APPENDIX'!$CH$52:$CH$53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187-4033-9270-98DF86805365}"/>
            </c:ext>
          </c:extLst>
        </c:ser>
        <c:ser>
          <c:idx val="8"/>
          <c:order val="8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APPENDIX'!$CI$52:$CI$53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APPENDIX'!$CJ$52:$CJ$53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187-4033-9270-98DF86805365}"/>
            </c:ext>
          </c:extLst>
        </c:ser>
        <c:ser>
          <c:idx val="9"/>
          <c:order val="9"/>
          <c:tx>
            <c:strRef>
              <c:f>'OPTIONAL FULL MODEL APPENDIX'!$CG$31</c:f>
              <c:strCache>
                <c:ptCount val="1"/>
                <c:pt idx="0">
                  <c:v>base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87-4033-9270-98DF86805365}"/>
                </c:ext>
              </c:extLst>
            </c:dLbl>
            <c:dLbl>
              <c:idx val="1"/>
              <c:layout>
                <c:manualLayout>
                  <c:x val="-1.3949161347862428E-2"/>
                  <c:y val="4.639174504558080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87-4033-9270-98DF8680536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APPENDIX'!$CG$36:$CG$37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APPENDIX'!$CH$36:$CH$37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187-4033-9270-98DF86805365}"/>
            </c:ext>
          </c:extLst>
        </c:ser>
        <c:ser>
          <c:idx val="10"/>
          <c:order val="10"/>
          <c:tx>
            <c:strRef>
              <c:f>'OPTIONAL FULL MODEL APPENDIX'!$CG$40</c:f>
              <c:strCache>
                <c:ptCount val="1"/>
                <c:pt idx="0">
                  <c:v>(i)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87-4033-9270-98DF8680536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APPENDIX'!$CG$45:$CG$46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APPENDIX'!$CH$45:$CH$46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187-4033-9270-98DF86805365}"/>
            </c:ext>
          </c:extLst>
        </c:ser>
        <c:ser>
          <c:idx val="11"/>
          <c:order val="11"/>
          <c:tx>
            <c:strRef>
              <c:f>'OPTIONAL FULL MODEL APPENDIX'!$CG$50</c:f>
              <c:strCache>
                <c:ptCount val="1"/>
                <c:pt idx="0">
                  <c:v>(ii)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87-4033-9270-98DF86805365}"/>
                </c:ext>
              </c:extLst>
            </c:dLbl>
            <c:dLbl>
              <c:idx val="1"/>
              <c:layout>
                <c:manualLayout>
                  <c:x val="-1.952904555883965E-2"/>
                  <c:y val="3.247385624257549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87-4033-9270-98DF8680536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APPENDIX'!$CG$55:$CG$56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APPENDIX'!$CH$55:$CH$56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E187-4033-9270-98DF86805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735536"/>
        <c:axId val="706739456"/>
      </c:scatterChart>
      <c:valAx>
        <c:axId val="706735536"/>
        <c:scaling>
          <c:orientation val="minMax"/>
          <c:max val="7.0000000000000021E-2"/>
          <c:min val="-7.0000000000000021E-2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Net exports (in percent of potential</a:t>
                </a:r>
                <a:r>
                  <a:rPr lang="en-US" b="0" baseline="0"/>
                  <a:t> output)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26931171364306933"/>
              <c:y val="0.88770844250717507"/>
            </c:manualLayout>
          </c:layout>
          <c:overlay val="0"/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39456"/>
        <c:crosses val="autoZero"/>
        <c:crossBetween val="midCat"/>
      </c:valAx>
      <c:valAx>
        <c:axId val="706739456"/>
        <c:scaling>
          <c:orientation val="minMax"/>
          <c:max val="106"/>
          <c:min val="9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800" b="0"/>
                </a:pPr>
                <a:r>
                  <a:rPr lang="en-US" sz="800" b="0"/>
                  <a:t>Real exchange rate index </a:t>
                </a:r>
              </a:p>
              <a:p>
                <a:pPr>
                  <a:defRPr sz="800" b="0"/>
                </a:pPr>
                <a:r>
                  <a:rPr lang="en-US" sz="800" b="0"/>
                  <a:t>(app -, base=100)</a:t>
                </a:r>
              </a:p>
            </c:rich>
          </c:tx>
          <c:layout>
            <c:manualLayout>
              <c:xMode val="edge"/>
              <c:yMode val="edge"/>
              <c:x val="3.361261807752884E-3"/>
              <c:y val="0.26151886697507193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35536"/>
        <c:crossesAt val="-7.0000000000000021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Joint</a:t>
            </a:r>
            <a:r>
              <a:rPr lang="en-US" baseline="0"/>
              <a:t> Balance Internal/External</a:t>
            </a:r>
            <a:endParaRPr lang="en-US"/>
          </a:p>
        </c:rich>
      </c:tx>
      <c:layout>
        <c:manualLayout>
          <c:xMode val="edge"/>
          <c:yMode val="edge"/>
          <c:x val="0.29945793234179063"/>
          <c:y val="1.86359510975034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233887430737831E-2"/>
          <c:y val="0.12451921324981884"/>
          <c:w val="0.89324639107611548"/>
          <c:h val="0.7816641806503555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'NEW Assignment Problem'!$T$7:$T$21</c:f>
              <c:numCache>
                <c:formatCode>0.0%</c:formatCode>
                <c:ptCount val="15"/>
                <c:pt idx="0">
                  <c:v>3.5000000000000003E-2</c:v>
                </c:pt>
                <c:pt idx="1">
                  <c:v>3.0000000000000002E-2</c:v>
                </c:pt>
                <c:pt idx="2">
                  <c:v>2.5000000000000001E-2</c:v>
                </c:pt>
                <c:pt idx="3">
                  <c:v>0.02</c:v>
                </c:pt>
                <c:pt idx="4">
                  <c:v>1.4999999999999999E-2</c:v>
                </c:pt>
                <c:pt idx="5">
                  <c:v>0.01</c:v>
                </c:pt>
                <c:pt idx="6">
                  <c:v>5.0000000000000001E-3</c:v>
                </c:pt>
                <c:pt idx="7">
                  <c:v>0</c:v>
                </c:pt>
                <c:pt idx="8">
                  <c:v>-5.0000000000000001E-3</c:v>
                </c:pt>
                <c:pt idx="9">
                  <c:v>-0.01</c:v>
                </c:pt>
                <c:pt idx="10">
                  <c:v>-1.4999999999999999E-2</c:v>
                </c:pt>
                <c:pt idx="11">
                  <c:v>-0.02</c:v>
                </c:pt>
                <c:pt idx="12">
                  <c:v>-2.5000000000000001E-2</c:v>
                </c:pt>
                <c:pt idx="13">
                  <c:v>-3.0000000000000002E-2</c:v>
                </c:pt>
                <c:pt idx="14">
                  <c:v>-3.5000000000000003E-2</c:v>
                </c:pt>
              </c:numCache>
            </c:numRef>
          </c:xVal>
          <c:yVal>
            <c:numRef>
              <c:f>'NEW Assignment Problem'!$V$7:$V$21</c:f>
              <c:numCache>
                <c:formatCode>0.0%</c:formatCode>
                <c:ptCount val="15"/>
                <c:pt idx="0">
                  <c:v>-4.215399999999999E-2</c:v>
                </c:pt>
                <c:pt idx="1">
                  <c:v>-3.6131999999999991E-2</c:v>
                </c:pt>
                <c:pt idx="2">
                  <c:v>-3.0109999999999994E-2</c:v>
                </c:pt>
                <c:pt idx="3">
                  <c:v>-2.4087999999999995E-2</c:v>
                </c:pt>
                <c:pt idx="4">
                  <c:v>-1.8065999999999995E-2</c:v>
                </c:pt>
                <c:pt idx="5">
                  <c:v>-1.2043999999999997E-2</c:v>
                </c:pt>
                <c:pt idx="6">
                  <c:v>-6.0219999999999987E-3</c:v>
                </c:pt>
                <c:pt idx="7">
                  <c:v>0</c:v>
                </c:pt>
                <c:pt idx="8">
                  <c:v>6.0219999999999987E-3</c:v>
                </c:pt>
                <c:pt idx="9">
                  <c:v>1.2043999999999997E-2</c:v>
                </c:pt>
                <c:pt idx="10">
                  <c:v>1.8065999999999995E-2</c:v>
                </c:pt>
                <c:pt idx="11">
                  <c:v>2.4087999999999995E-2</c:v>
                </c:pt>
                <c:pt idx="12">
                  <c:v>3.0109999999999994E-2</c:v>
                </c:pt>
                <c:pt idx="13">
                  <c:v>3.6131999999999991E-2</c:v>
                </c:pt>
                <c:pt idx="14">
                  <c:v>4.215399999999999E-2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C2-4216-8776-07762471F110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'NEW Assignment Problem'!$T$7:$T$21</c:f>
              <c:numCache>
                <c:formatCode>0.0%</c:formatCode>
                <c:ptCount val="15"/>
                <c:pt idx="0">
                  <c:v>3.5000000000000003E-2</c:v>
                </c:pt>
                <c:pt idx="1">
                  <c:v>3.0000000000000002E-2</c:v>
                </c:pt>
                <c:pt idx="2">
                  <c:v>2.5000000000000001E-2</c:v>
                </c:pt>
                <c:pt idx="3">
                  <c:v>0.02</c:v>
                </c:pt>
                <c:pt idx="4">
                  <c:v>1.4999999999999999E-2</c:v>
                </c:pt>
                <c:pt idx="5">
                  <c:v>0.01</c:v>
                </c:pt>
                <c:pt idx="6">
                  <c:v>5.0000000000000001E-3</c:v>
                </c:pt>
                <c:pt idx="7">
                  <c:v>0</c:v>
                </c:pt>
                <c:pt idx="8">
                  <c:v>-5.0000000000000001E-3</c:v>
                </c:pt>
                <c:pt idx="9">
                  <c:v>-0.01</c:v>
                </c:pt>
                <c:pt idx="10">
                  <c:v>-1.4999999999999999E-2</c:v>
                </c:pt>
                <c:pt idx="11">
                  <c:v>-0.02</c:v>
                </c:pt>
                <c:pt idx="12">
                  <c:v>-2.5000000000000001E-2</c:v>
                </c:pt>
                <c:pt idx="13">
                  <c:v>-3.0000000000000002E-2</c:v>
                </c:pt>
                <c:pt idx="14">
                  <c:v>-3.5000000000000003E-2</c:v>
                </c:pt>
              </c:numCache>
            </c:numRef>
          </c:xVal>
          <c:yVal>
            <c:numRef>
              <c:f>'NEW Assignment Problem'!$Z$7:$Z$21</c:f>
              <c:numCache>
                <c:formatCode>0.0%</c:formatCode>
                <c:ptCount val="15"/>
                <c:pt idx="0">
                  <c:v>5.9150000000000001E-2</c:v>
                </c:pt>
                <c:pt idx="1">
                  <c:v>5.0700000000000002E-2</c:v>
                </c:pt>
                <c:pt idx="2">
                  <c:v>4.2250000000000003E-2</c:v>
                </c:pt>
                <c:pt idx="3">
                  <c:v>3.3799999999999997E-2</c:v>
                </c:pt>
                <c:pt idx="4">
                  <c:v>2.5349999999999998E-2</c:v>
                </c:pt>
                <c:pt idx="5">
                  <c:v>1.6899999999999998E-2</c:v>
                </c:pt>
                <c:pt idx="6">
                  <c:v>8.4499999999999992E-3</c:v>
                </c:pt>
                <c:pt idx="7">
                  <c:v>0</c:v>
                </c:pt>
                <c:pt idx="8">
                  <c:v>-8.4499999999999992E-3</c:v>
                </c:pt>
                <c:pt idx="9">
                  <c:v>-1.6899999999999998E-2</c:v>
                </c:pt>
                <c:pt idx="10">
                  <c:v>-2.5349999999999998E-2</c:v>
                </c:pt>
                <c:pt idx="11">
                  <c:v>-3.3799999999999997E-2</c:v>
                </c:pt>
                <c:pt idx="12">
                  <c:v>-4.2250000000000003E-2</c:v>
                </c:pt>
                <c:pt idx="13">
                  <c:v>-5.0700000000000002E-2</c:v>
                </c:pt>
                <c:pt idx="14">
                  <c:v>-5.9150000000000001E-2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C2-4216-8776-07762471F110}"/>
            </c:ext>
          </c:extLst>
        </c:ser>
        <c:ser>
          <c:idx val="2"/>
          <c:order val="2"/>
          <c:tx>
            <c:strRef>
              <c:f>'NEW Assignment Problem'!$W$24</c:f>
              <c:strCache>
                <c:ptCount val="1"/>
                <c:pt idx="0">
                  <c:v>External Deficit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3010664562452577E-2"/>
                  <c:y val="3.15291540405231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C2-4216-8776-07762471F1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C2-4216-8776-07762471F1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C2-4216-8776-07762471F1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C2-4216-8776-07762471F1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C2-4216-8776-07762471F1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C2-4216-8776-07762471F1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C2-4216-8776-07762471F1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C2-4216-8776-07762471F1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C2-4216-8776-07762471F11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C2-4216-8776-07762471F11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C2-4216-8776-07762471F11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C2-4216-8776-07762471F1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C2-4216-8776-07762471F11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C2-4216-8776-07762471F11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C2-4216-8776-07762471F1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'NEW Assignment Problem'!$T$7:$T$21</c:f>
              <c:numCache>
                <c:formatCode>0.0%</c:formatCode>
                <c:ptCount val="15"/>
                <c:pt idx="0">
                  <c:v>3.5000000000000003E-2</c:v>
                </c:pt>
                <c:pt idx="1">
                  <c:v>3.0000000000000002E-2</c:v>
                </c:pt>
                <c:pt idx="2">
                  <c:v>2.5000000000000001E-2</c:v>
                </c:pt>
                <c:pt idx="3">
                  <c:v>0.02</c:v>
                </c:pt>
                <c:pt idx="4">
                  <c:v>1.4999999999999999E-2</c:v>
                </c:pt>
                <c:pt idx="5">
                  <c:v>0.01</c:v>
                </c:pt>
                <c:pt idx="6">
                  <c:v>5.0000000000000001E-3</c:v>
                </c:pt>
                <c:pt idx="7">
                  <c:v>0</c:v>
                </c:pt>
                <c:pt idx="8">
                  <c:v>-5.0000000000000001E-3</c:v>
                </c:pt>
                <c:pt idx="9">
                  <c:v>-0.01</c:v>
                </c:pt>
                <c:pt idx="10">
                  <c:v>-1.4999999999999999E-2</c:v>
                </c:pt>
                <c:pt idx="11">
                  <c:v>-0.02</c:v>
                </c:pt>
                <c:pt idx="12">
                  <c:v>-2.5000000000000001E-2</c:v>
                </c:pt>
                <c:pt idx="13">
                  <c:v>-3.0000000000000002E-2</c:v>
                </c:pt>
                <c:pt idx="14">
                  <c:v>-3.5000000000000003E-2</c:v>
                </c:pt>
              </c:numCache>
            </c:numRef>
          </c:xVal>
          <c:yVal>
            <c:numRef>
              <c:f>'NEW Assignment Problem'!$W$7:$W$21</c:f>
              <c:numCache>
                <c:formatCode>0.0%</c:formatCode>
                <c:ptCount val="15"/>
                <c:pt idx="0">
                  <c:v>-7.1753999999999984E-2</c:v>
                </c:pt>
                <c:pt idx="1">
                  <c:v>-6.5731999999999985E-2</c:v>
                </c:pt>
                <c:pt idx="2">
                  <c:v>-5.9709999999999992E-2</c:v>
                </c:pt>
                <c:pt idx="3">
                  <c:v>-5.3687999999999993E-2</c:v>
                </c:pt>
                <c:pt idx="4">
                  <c:v>-4.7665999999999993E-2</c:v>
                </c:pt>
                <c:pt idx="5">
                  <c:v>-4.1643999999999994E-2</c:v>
                </c:pt>
                <c:pt idx="6">
                  <c:v>-3.5621999999999994E-2</c:v>
                </c:pt>
                <c:pt idx="7">
                  <c:v>-2.9599999999999998E-2</c:v>
                </c:pt>
                <c:pt idx="8">
                  <c:v>-2.3577999999999998E-2</c:v>
                </c:pt>
                <c:pt idx="9">
                  <c:v>-1.7556000000000002E-2</c:v>
                </c:pt>
                <c:pt idx="10">
                  <c:v>-1.1534000000000003E-2</c:v>
                </c:pt>
                <c:pt idx="11">
                  <c:v>-5.512000000000003E-3</c:v>
                </c:pt>
                <c:pt idx="12">
                  <c:v>5.0999999999999657E-4</c:v>
                </c:pt>
                <c:pt idx="13">
                  <c:v>6.5319999999999927E-3</c:v>
                </c:pt>
                <c:pt idx="14">
                  <c:v>1.2553999999999992E-2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CC2-4216-8776-07762471F110}"/>
            </c:ext>
          </c:extLst>
        </c:ser>
        <c:ser>
          <c:idx val="3"/>
          <c:order val="3"/>
          <c:tx>
            <c:strRef>
              <c:f>'NEW Assignment Problem'!$AA$24</c:f>
              <c:strCache>
                <c:ptCount val="1"/>
                <c:pt idx="0">
                  <c:v>Inflation above Target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C2-4216-8776-07762471F1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C2-4216-8776-07762471F1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C2-4216-8776-07762471F1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C2-4216-8776-07762471F1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C2-4216-8776-07762471F1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C2-4216-8776-07762471F1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C2-4216-8776-07762471F1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C2-4216-8776-07762471F1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C2-4216-8776-07762471F11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C2-4216-8776-07762471F11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C2-4216-8776-07762471F11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C2-4216-8776-07762471F1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C2-4216-8776-07762471F11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C2-4216-8776-07762471F1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'NEW Assignment Problem'!$T$7:$T$21</c:f>
              <c:numCache>
                <c:formatCode>0.0%</c:formatCode>
                <c:ptCount val="15"/>
                <c:pt idx="0">
                  <c:v>3.5000000000000003E-2</c:v>
                </c:pt>
                <c:pt idx="1">
                  <c:v>3.0000000000000002E-2</c:v>
                </c:pt>
                <c:pt idx="2">
                  <c:v>2.5000000000000001E-2</c:v>
                </c:pt>
                <c:pt idx="3">
                  <c:v>0.02</c:v>
                </c:pt>
                <c:pt idx="4">
                  <c:v>1.4999999999999999E-2</c:v>
                </c:pt>
                <c:pt idx="5">
                  <c:v>0.01</c:v>
                </c:pt>
                <c:pt idx="6">
                  <c:v>5.0000000000000001E-3</c:v>
                </c:pt>
                <c:pt idx="7">
                  <c:v>0</c:v>
                </c:pt>
                <c:pt idx="8">
                  <c:v>-5.0000000000000001E-3</c:v>
                </c:pt>
                <c:pt idx="9">
                  <c:v>-0.01</c:v>
                </c:pt>
                <c:pt idx="10">
                  <c:v>-1.4999999999999999E-2</c:v>
                </c:pt>
                <c:pt idx="11">
                  <c:v>-0.02</c:v>
                </c:pt>
                <c:pt idx="12">
                  <c:v>-2.5000000000000001E-2</c:v>
                </c:pt>
                <c:pt idx="13">
                  <c:v>-3.0000000000000002E-2</c:v>
                </c:pt>
                <c:pt idx="14">
                  <c:v>-3.5000000000000003E-2</c:v>
                </c:pt>
              </c:numCache>
            </c:numRef>
          </c:xVal>
          <c:yVal>
            <c:numRef>
              <c:f>'NEW Assignment Problem'!$AA$7:$AA$21</c:f>
              <c:numCache>
                <c:formatCode>0.0%</c:formatCode>
                <c:ptCount val="15"/>
                <c:pt idx="0">
                  <c:v>4.6200000000000005E-2</c:v>
                </c:pt>
                <c:pt idx="1">
                  <c:v>3.7750000000000006E-2</c:v>
                </c:pt>
                <c:pt idx="2">
                  <c:v>2.9300000000000003E-2</c:v>
                </c:pt>
                <c:pt idx="3">
                  <c:v>2.0849999999999997E-2</c:v>
                </c:pt>
                <c:pt idx="4">
                  <c:v>1.2399999999999998E-2</c:v>
                </c:pt>
                <c:pt idx="5">
                  <c:v>3.9499999999999987E-3</c:v>
                </c:pt>
                <c:pt idx="6">
                  <c:v>-4.5000000000000005E-3</c:v>
                </c:pt>
                <c:pt idx="7">
                  <c:v>-1.295E-2</c:v>
                </c:pt>
                <c:pt idx="8">
                  <c:v>-2.1399999999999999E-2</c:v>
                </c:pt>
                <c:pt idx="9">
                  <c:v>-2.9849999999999998E-2</c:v>
                </c:pt>
                <c:pt idx="10">
                  <c:v>-3.8300000000000001E-2</c:v>
                </c:pt>
                <c:pt idx="11">
                  <c:v>-4.675E-2</c:v>
                </c:pt>
                <c:pt idx="12">
                  <c:v>-5.5199999999999999E-2</c:v>
                </c:pt>
                <c:pt idx="13">
                  <c:v>-6.3649999999999998E-2</c:v>
                </c:pt>
                <c:pt idx="14">
                  <c:v>-7.2099999999999997E-2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CCC2-4216-8776-07762471F110}"/>
            </c:ext>
          </c:extLst>
        </c:ser>
        <c:ser>
          <c:idx val="4"/>
          <c:order val="4"/>
          <c:spPr>
            <a:ln w="952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'NEW Assignment Problem'!$W$31:$W$32</c:f>
              <c:numCache>
                <c:formatCode>0.0%</c:formatCode>
                <c:ptCount val="2"/>
                <c:pt idx="0">
                  <c:v>-5.7524875621890546E-3</c:v>
                </c:pt>
                <c:pt idx="1">
                  <c:v>-5.7524875621890546E-3</c:v>
                </c:pt>
              </c:numCache>
            </c:numRef>
          </c:xVal>
          <c:yVal>
            <c:numRef>
              <c:f>'NEW Assignment Problem'!$X$31:$X$32</c:f>
              <c:numCache>
                <c:formatCode>0.0%</c:formatCode>
                <c:ptCount val="2"/>
                <c:pt idx="0" formatCode="General">
                  <c:v>0</c:v>
                </c:pt>
                <c:pt idx="1">
                  <c:v>-2.2671703980099499E-2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CCC2-4216-8776-07762471F110}"/>
            </c:ext>
          </c:extLst>
        </c:ser>
        <c:ser>
          <c:idx val="5"/>
          <c:order val="5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'NEW Assignment Problem'!$W$35:$W$36</c:f>
              <c:numCache>
                <c:formatCode>0.0%</c:formatCode>
                <c:ptCount val="2"/>
                <c:pt idx="0" formatCode="General">
                  <c:v>0</c:v>
                </c:pt>
                <c:pt idx="1">
                  <c:v>-5.7524875621890546E-3</c:v>
                </c:pt>
              </c:numCache>
            </c:numRef>
          </c:xVal>
          <c:yVal>
            <c:numRef>
              <c:f>'NEW Assignment Problem'!$X$35:$X$36</c:f>
              <c:numCache>
                <c:formatCode>0.0%</c:formatCode>
                <c:ptCount val="2"/>
                <c:pt idx="0">
                  <c:v>-2.2671703980099499E-2</c:v>
                </c:pt>
                <c:pt idx="1">
                  <c:v>-2.2671703980099499E-2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CCC2-4216-8776-07762471F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740632"/>
        <c:axId val="706741024"/>
      </c:scatterChart>
      <c:valAx>
        <c:axId val="706740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Interest rate adjustment in percent </a:t>
                </a:r>
              </a:p>
            </c:rich>
          </c:tx>
          <c:layout>
            <c:manualLayout>
              <c:xMode val="edge"/>
              <c:yMode val="edge"/>
              <c:x val="0.32861402741324003"/>
              <c:y val="0.934137320546429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41024"/>
        <c:crosses val="autoZero"/>
        <c:crossBetween val="midCat"/>
      </c:valAx>
      <c:valAx>
        <c:axId val="7067410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Fiscal Adjustment in percent of potential output</a:t>
                </a:r>
              </a:p>
            </c:rich>
          </c:tx>
          <c:layout>
            <c:manualLayout>
              <c:xMode val="edge"/>
              <c:yMode val="edge"/>
              <c:x val="6.9444444444444441E-3"/>
              <c:y val="0.205730383766081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40632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IS/RR Curve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6820932361302771"/>
          <c:y val="0.16014315695282533"/>
          <c:w val="0.78193806099231"/>
          <c:h val="0.6481370863473592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APPENDIX'!$AP$7:$AP$27</c:f>
              <c:numCache>
                <c:formatCode>0.00%</c:formatCode>
                <c:ptCount val="21"/>
                <c:pt idx="0">
                  <c:v>1.3148325358851676E-2</c:v>
                </c:pt>
                <c:pt idx="1">
                  <c:v>1.4833492822966506E-2</c:v>
                </c:pt>
                <c:pt idx="2">
                  <c:v>1.6518660287081339E-2</c:v>
                </c:pt>
                <c:pt idx="3">
                  <c:v>1.820382775119617E-2</c:v>
                </c:pt>
                <c:pt idx="4">
                  <c:v>1.9888995215311005E-2</c:v>
                </c:pt>
                <c:pt idx="5">
                  <c:v>2.1574162679425836E-2</c:v>
                </c:pt>
                <c:pt idx="6">
                  <c:v>2.3259330143540667E-2</c:v>
                </c:pt>
                <c:pt idx="7">
                  <c:v>2.4944497607655502E-2</c:v>
                </c:pt>
                <c:pt idx="8">
                  <c:v>2.6629665071770333E-2</c:v>
                </c:pt>
                <c:pt idx="9">
                  <c:v>2.8314832535885168E-2</c:v>
                </c:pt>
                <c:pt idx="10">
                  <c:v>0.03</c:v>
                </c:pt>
                <c:pt idx="11">
                  <c:v>3.168516746411483E-2</c:v>
                </c:pt>
                <c:pt idx="12">
                  <c:v>3.3370334928229661E-2</c:v>
                </c:pt>
                <c:pt idx="13">
                  <c:v>3.5055502392344493E-2</c:v>
                </c:pt>
                <c:pt idx="14">
                  <c:v>3.6740669856459331E-2</c:v>
                </c:pt>
                <c:pt idx="15">
                  <c:v>3.8425837320574162E-2</c:v>
                </c:pt>
                <c:pt idx="16">
                  <c:v>4.0111004784688993E-2</c:v>
                </c:pt>
                <c:pt idx="17">
                  <c:v>4.1796172248803831E-2</c:v>
                </c:pt>
                <c:pt idx="18">
                  <c:v>4.3481339712918662E-2</c:v>
                </c:pt>
                <c:pt idx="19">
                  <c:v>4.5166507177033494E-2</c:v>
                </c:pt>
                <c:pt idx="20">
                  <c:v>4.6851674641148325E-2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EB-46DD-BC53-80C345D82EF6}"/>
            </c:ext>
          </c:extLst>
        </c:ser>
        <c:ser>
          <c:idx val="1"/>
          <c:order val="1"/>
          <c:spPr>
            <a:ln w="1905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APPENDIX'!$AR$7:$AR$27</c:f>
              <c:numCache>
                <c:formatCode>0.00%</c:formatCode>
                <c:ptCount val="21"/>
                <c:pt idx="0">
                  <c:v>1.3148325358851676E-2</c:v>
                </c:pt>
                <c:pt idx="1">
                  <c:v>1.4833492822966506E-2</c:v>
                </c:pt>
                <c:pt idx="2">
                  <c:v>1.6518660287081339E-2</c:v>
                </c:pt>
                <c:pt idx="3">
                  <c:v>1.820382775119617E-2</c:v>
                </c:pt>
                <c:pt idx="4">
                  <c:v>1.9888995215311005E-2</c:v>
                </c:pt>
                <c:pt idx="5">
                  <c:v>2.1574162679425836E-2</c:v>
                </c:pt>
                <c:pt idx="6">
                  <c:v>2.3259330143540667E-2</c:v>
                </c:pt>
                <c:pt idx="7">
                  <c:v>2.4944497607655502E-2</c:v>
                </c:pt>
                <c:pt idx="8">
                  <c:v>2.6629665071770333E-2</c:v>
                </c:pt>
                <c:pt idx="9">
                  <c:v>2.8314832535885168E-2</c:v>
                </c:pt>
                <c:pt idx="10" formatCode="0.0%">
                  <c:v>0.03</c:v>
                </c:pt>
                <c:pt idx="11">
                  <c:v>3.168516746411483E-2</c:v>
                </c:pt>
                <c:pt idx="12">
                  <c:v>3.3370334928229661E-2</c:v>
                </c:pt>
                <c:pt idx="13">
                  <c:v>3.5055502392344493E-2</c:v>
                </c:pt>
                <c:pt idx="14">
                  <c:v>3.6740669856459331E-2</c:v>
                </c:pt>
                <c:pt idx="15">
                  <c:v>3.8425837320574162E-2</c:v>
                </c:pt>
                <c:pt idx="16">
                  <c:v>4.0111004784688993E-2</c:v>
                </c:pt>
                <c:pt idx="17">
                  <c:v>4.1796172248803831E-2</c:v>
                </c:pt>
                <c:pt idx="18">
                  <c:v>4.3481339712918662E-2</c:v>
                </c:pt>
                <c:pt idx="19">
                  <c:v>4.5166507177033494E-2</c:v>
                </c:pt>
                <c:pt idx="20">
                  <c:v>4.6851674641148325E-2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EB-46DD-BC53-80C345D82EF6}"/>
            </c:ext>
          </c:extLst>
        </c:ser>
        <c:ser>
          <c:idx val="2"/>
          <c:order val="2"/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APPENDIX'!$AT$7:$AT$27</c:f>
              <c:numCache>
                <c:formatCode>0.00%</c:formatCode>
                <c:ptCount val="21"/>
                <c:pt idx="0">
                  <c:v>1.3148325358851676E-2</c:v>
                </c:pt>
                <c:pt idx="1">
                  <c:v>1.4833492822966506E-2</c:v>
                </c:pt>
                <c:pt idx="2">
                  <c:v>1.6518660287081339E-2</c:v>
                </c:pt>
                <c:pt idx="3">
                  <c:v>1.820382775119617E-2</c:v>
                </c:pt>
                <c:pt idx="4">
                  <c:v>1.9888995215311005E-2</c:v>
                </c:pt>
                <c:pt idx="5">
                  <c:v>2.1574162679425836E-2</c:v>
                </c:pt>
                <c:pt idx="6">
                  <c:v>2.3259330143540667E-2</c:v>
                </c:pt>
                <c:pt idx="7">
                  <c:v>2.4944497607655502E-2</c:v>
                </c:pt>
                <c:pt idx="8">
                  <c:v>2.6629665071770333E-2</c:v>
                </c:pt>
                <c:pt idx="9">
                  <c:v>2.8314832535885168E-2</c:v>
                </c:pt>
                <c:pt idx="10">
                  <c:v>0.03</c:v>
                </c:pt>
                <c:pt idx="11">
                  <c:v>3.168516746411483E-2</c:v>
                </c:pt>
                <c:pt idx="12">
                  <c:v>3.3370334928229661E-2</c:v>
                </c:pt>
                <c:pt idx="13">
                  <c:v>3.5055502392344493E-2</c:v>
                </c:pt>
                <c:pt idx="14">
                  <c:v>3.6740669856459331E-2</c:v>
                </c:pt>
                <c:pt idx="15">
                  <c:v>3.8425837320574162E-2</c:v>
                </c:pt>
                <c:pt idx="16">
                  <c:v>4.0111004784688993E-2</c:v>
                </c:pt>
                <c:pt idx="17">
                  <c:v>4.1796172248803831E-2</c:v>
                </c:pt>
                <c:pt idx="18">
                  <c:v>4.3481339712918662E-2</c:v>
                </c:pt>
                <c:pt idx="19">
                  <c:v>4.5166507177033494E-2</c:v>
                </c:pt>
                <c:pt idx="20">
                  <c:v>4.6851674641148325E-2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EB-46DD-BC53-80C345D82EF6}"/>
            </c:ext>
          </c:extLst>
        </c:ser>
        <c:ser>
          <c:idx val="3"/>
          <c:order val="3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APPENDIX'!$BI$7:$BI$27</c:f>
              <c:numCache>
                <c:formatCode>0.0%</c:formatCode>
                <c:ptCount val="21"/>
                <c:pt idx="0">
                  <c:v>7.2000000000000008E-2</c:v>
                </c:pt>
                <c:pt idx="1">
                  <c:v>6.7799999999999999E-2</c:v>
                </c:pt>
                <c:pt idx="2">
                  <c:v>6.3600000000000004E-2</c:v>
                </c:pt>
                <c:pt idx="3">
                  <c:v>5.9400000000000008E-2</c:v>
                </c:pt>
                <c:pt idx="4">
                  <c:v>5.5199999999999999E-2</c:v>
                </c:pt>
                <c:pt idx="5">
                  <c:v>5.1000000000000004E-2</c:v>
                </c:pt>
                <c:pt idx="6">
                  <c:v>4.6800000000000008E-2</c:v>
                </c:pt>
                <c:pt idx="7">
                  <c:v>4.2599999999999999E-2</c:v>
                </c:pt>
                <c:pt idx="8">
                  <c:v>3.8400000000000004E-2</c:v>
                </c:pt>
                <c:pt idx="9">
                  <c:v>3.4200000000000001E-2</c:v>
                </c:pt>
                <c:pt idx="10">
                  <c:v>0.03</c:v>
                </c:pt>
                <c:pt idx="11">
                  <c:v>2.58E-2</c:v>
                </c:pt>
                <c:pt idx="12">
                  <c:v>2.1600000000000001E-2</c:v>
                </c:pt>
                <c:pt idx="13">
                  <c:v>1.7399999999999999E-2</c:v>
                </c:pt>
                <c:pt idx="14">
                  <c:v>1.3199999999999998E-2</c:v>
                </c:pt>
                <c:pt idx="15">
                  <c:v>8.9999999999999976E-3</c:v>
                </c:pt>
                <c:pt idx="16">
                  <c:v>4.799999999999997E-3</c:v>
                </c:pt>
                <c:pt idx="17">
                  <c:v>5.999999999999929E-4</c:v>
                </c:pt>
                <c:pt idx="18">
                  <c:v>-3.6000000000000042E-3</c:v>
                </c:pt>
                <c:pt idx="19">
                  <c:v>-7.8000000000000014E-3</c:v>
                </c:pt>
                <c:pt idx="20">
                  <c:v>-1.1999999999999999E-2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EB-46DD-BC53-80C345D82EF6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APPENDIX'!$BK$7:$BK$27</c:f>
              <c:numCache>
                <c:formatCode>0.0%</c:formatCode>
                <c:ptCount val="21"/>
                <c:pt idx="0">
                  <c:v>7.2000000000000008E-2</c:v>
                </c:pt>
                <c:pt idx="1">
                  <c:v>6.7799999999999999E-2</c:v>
                </c:pt>
                <c:pt idx="2">
                  <c:v>6.3600000000000004E-2</c:v>
                </c:pt>
                <c:pt idx="3">
                  <c:v>5.9400000000000008E-2</c:v>
                </c:pt>
                <c:pt idx="4">
                  <c:v>5.5199999999999999E-2</c:v>
                </c:pt>
                <c:pt idx="5">
                  <c:v>5.1000000000000004E-2</c:v>
                </c:pt>
                <c:pt idx="6">
                  <c:v>4.6800000000000008E-2</c:v>
                </c:pt>
                <c:pt idx="7">
                  <c:v>4.2599999999999999E-2</c:v>
                </c:pt>
                <c:pt idx="8">
                  <c:v>3.8400000000000004E-2</c:v>
                </c:pt>
                <c:pt idx="9">
                  <c:v>3.4200000000000001E-2</c:v>
                </c:pt>
                <c:pt idx="10">
                  <c:v>0.03</c:v>
                </c:pt>
                <c:pt idx="11">
                  <c:v>2.58E-2</c:v>
                </c:pt>
                <c:pt idx="12">
                  <c:v>2.1600000000000001E-2</c:v>
                </c:pt>
                <c:pt idx="13">
                  <c:v>1.7399999999999999E-2</c:v>
                </c:pt>
                <c:pt idx="14">
                  <c:v>1.3199999999999998E-2</c:v>
                </c:pt>
                <c:pt idx="15">
                  <c:v>8.9999999999999976E-3</c:v>
                </c:pt>
                <c:pt idx="16">
                  <c:v>4.799999999999997E-3</c:v>
                </c:pt>
                <c:pt idx="17">
                  <c:v>5.999999999999929E-4</c:v>
                </c:pt>
                <c:pt idx="18">
                  <c:v>-3.6000000000000042E-3</c:v>
                </c:pt>
                <c:pt idx="19">
                  <c:v>-7.8000000000000014E-3</c:v>
                </c:pt>
                <c:pt idx="20">
                  <c:v>-1.1999999999999999E-2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EB-46DD-BC53-80C345D82EF6}"/>
            </c:ext>
          </c:extLst>
        </c:ser>
        <c:ser>
          <c:idx val="5"/>
          <c:order val="5"/>
          <c:spPr>
            <a:ln w="19050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APPENDIX'!$BM$7:$BM$27</c:f>
              <c:numCache>
                <c:formatCode>0.0%</c:formatCode>
                <c:ptCount val="21"/>
                <c:pt idx="0">
                  <c:v>7.2000000000000008E-2</c:v>
                </c:pt>
                <c:pt idx="1">
                  <c:v>6.7799999999999999E-2</c:v>
                </c:pt>
                <c:pt idx="2">
                  <c:v>6.3600000000000004E-2</c:v>
                </c:pt>
                <c:pt idx="3">
                  <c:v>5.9400000000000008E-2</c:v>
                </c:pt>
                <c:pt idx="4">
                  <c:v>5.5199999999999999E-2</c:v>
                </c:pt>
                <c:pt idx="5">
                  <c:v>5.1000000000000004E-2</c:v>
                </c:pt>
                <c:pt idx="6">
                  <c:v>4.6800000000000008E-2</c:v>
                </c:pt>
                <c:pt idx="7">
                  <c:v>4.2599999999999999E-2</c:v>
                </c:pt>
                <c:pt idx="8">
                  <c:v>3.8400000000000004E-2</c:v>
                </c:pt>
                <c:pt idx="9">
                  <c:v>3.4200000000000001E-2</c:v>
                </c:pt>
                <c:pt idx="10">
                  <c:v>0.03</c:v>
                </c:pt>
                <c:pt idx="11">
                  <c:v>2.58E-2</c:v>
                </c:pt>
                <c:pt idx="12">
                  <c:v>2.1600000000000001E-2</c:v>
                </c:pt>
                <c:pt idx="13">
                  <c:v>1.7399999999999999E-2</c:v>
                </c:pt>
                <c:pt idx="14">
                  <c:v>1.3199999999999998E-2</c:v>
                </c:pt>
                <c:pt idx="15">
                  <c:v>8.9999999999999976E-3</c:v>
                </c:pt>
                <c:pt idx="16">
                  <c:v>4.799999999999997E-3</c:v>
                </c:pt>
                <c:pt idx="17">
                  <c:v>5.999999999999929E-4</c:v>
                </c:pt>
                <c:pt idx="18">
                  <c:v>-3.6000000000000042E-3</c:v>
                </c:pt>
                <c:pt idx="19">
                  <c:v>-7.8000000000000014E-3</c:v>
                </c:pt>
                <c:pt idx="20">
                  <c:v>-1.1999999999999999E-2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9EB-46DD-BC53-80C345D82EF6}"/>
            </c:ext>
          </c:extLst>
        </c:ser>
        <c:ser>
          <c:idx val="6"/>
          <c:order val="6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APPENDIX'!$AP$33:$AP$34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APPENDIX'!$AQ$33:$AQ$34</c:f>
              <c:numCache>
                <c:formatCode>0.0%</c:formatCode>
                <c:ptCount val="2"/>
                <c:pt idx="0">
                  <c:v>-0.1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9EB-46DD-BC53-80C345D82EF6}"/>
            </c:ext>
          </c:extLst>
        </c:ser>
        <c:ser>
          <c:idx val="7"/>
          <c:order val="7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APPENDIX'!$AP$37:$AP$38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APPENDIX'!$AQ$37:$AQ$38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9EB-46DD-BC53-80C345D82EF6}"/>
            </c:ext>
          </c:extLst>
        </c:ser>
        <c:ser>
          <c:idx val="8"/>
          <c:order val="8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APPENDIX'!$AP$42:$AP$43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APPENDIX'!$AQ$42:$AQ$43</c:f>
              <c:numCache>
                <c:formatCode>0.0%</c:formatCode>
                <c:ptCount val="2"/>
                <c:pt idx="0">
                  <c:v>-0.1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9EB-46DD-BC53-80C345D82EF6}"/>
            </c:ext>
          </c:extLst>
        </c:ser>
        <c:ser>
          <c:idx val="9"/>
          <c:order val="9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APPENDIX'!$AP$46:$AP$47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APPENDIX'!$AQ$46:$AQ$47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9EB-46DD-BC53-80C345D82EF6}"/>
            </c:ext>
          </c:extLst>
        </c:ser>
        <c:ser>
          <c:idx val="10"/>
          <c:order val="10"/>
          <c:spPr>
            <a:ln w="12700" cap="rnd">
              <a:solidFill>
                <a:schemeClr val="accent5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APPENDIX'!$AP$51:$AP$52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APPENDIX'!$AQ$51:$AQ$52</c:f>
              <c:numCache>
                <c:formatCode>0.0%</c:formatCode>
                <c:ptCount val="2"/>
                <c:pt idx="0">
                  <c:v>-0.1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9EB-46DD-BC53-80C345D82EF6}"/>
            </c:ext>
          </c:extLst>
        </c:ser>
        <c:ser>
          <c:idx val="11"/>
          <c:order val="11"/>
          <c:spPr>
            <a:ln w="12700" cap="rnd">
              <a:solidFill>
                <a:schemeClr val="accent6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APPENDIX'!$AP$55:$AP$56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APPENDIX'!$AQ$55:$AQ$56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9EB-46DD-BC53-80C345D82EF6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APPENDIX'!$AR$33:$AR$34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APPENDIX'!$AS$33:$AS$34</c:f>
              <c:numCache>
                <c:formatCode>0.00%</c:formatCode>
                <c:ptCount val="2"/>
                <c:pt idx="0" formatCode="0.0%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9EB-46DD-BC53-80C345D82EF6}"/>
            </c:ext>
          </c:extLst>
        </c:ser>
        <c:ser>
          <c:idx val="13"/>
          <c:order val="13"/>
          <c:tx>
            <c:strRef>
              <c:f>'OPTIONAL FULL MODEL APPENDIX'!$AR$31</c:f>
              <c:strCache>
                <c:ptCount val="1"/>
                <c:pt idx="0">
                  <c:v>base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EB-46DD-BC53-80C345D82EF6}"/>
                </c:ext>
              </c:extLst>
            </c:dLbl>
            <c:dLbl>
              <c:idx val="1"/>
              <c:layout>
                <c:manualLayout>
                  <c:x val="-4.7397766048227243E-2"/>
                  <c:y val="2.771280946425177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EB-46DD-BC53-80C345D82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APPENDIX'!$AR$33:$AR$34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APPENDIX'!$AS$33:$AS$34</c:f>
              <c:numCache>
                <c:formatCode>0.00%</c:formatCode>
                <c:ptCount val="2"/>
                <c:pt idx="0" formatCode="0.0%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9EB-46DD-BC53-80C345D82EF6}"/>
            </c:ext>
          </c:extLst>
        </c:ser>
        <c:ser>
          <c:idx val="14"/>
          <c:order val="14"/>
          <c:tx>
            <c:strRef>
              <c:f>'OPTIONAL FULL MODEL APPENDIX'!$AR$40</c:f>
              <c:strCache>
                <c:ptCount val="1"/>
                <c:pt idx="0">
                  <c:v>(i)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EB-46DD-BC53-80C345D82EF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EB-46DD-BC53-80C345D82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APPENDIX'!$AR$42:$AR$43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APPENDIX'!$AS$42:$AS$43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39EB-46DD-BC53-80C345D82EF6}"/>
            </c:ext>
          </c:extLst>
        </c:ser>
        <c:ser>
          <c:idx val="15"/>
          <c:order val="15"/>
          <c:tx>
            <c:strRef>
              <c:f>'OPTIONAL FULL MODEL APPENDIX'!$AR$49</c:f>
              <c:strCache>
                <c:ptCount val="1"/>
                <c:pt idx="0">
                  <c:v>(ii)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EB-46DD-BC53-80C345D82EF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EB-46DD-BC53-80C345D82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APPENDIX'!$AR$51:$AR$52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APPENDIX'!$AS$51:$AS$52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39EB-46DD-BC53-80C345D82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742200"/>
        <c:axId val="706742592"/>
      </c:scatterChart>
      <c:valAx>
        <c:axId val="706742200"/>
        <c:scaling>
          <c:orientation val="minMax"/>
          <c:max val="5.0000000000000024E-2"/>
          <c:min val="-5.0000000000000024E-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Output gap (in percent)</a:t>
                </a:r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42592"/>
        <c:crossesAt val="-6.0000000000000032E-2"/>
        <c:crossBetween val="midCat"/>
      </c:valAx>
      <c:valAx>
        <c:axId val="706742592"/>
        <c:scaling>
          <c:orientation val="minMax"/>
          <c:max val="0.1"/>
          <c:min val="-2.0000000000000011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Real interest rate (in percent)</a:t>
                </a:r>
              </a:p>
            </c:rich>
          </c:tx>
          <c:overlay val="0"/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42200"/>
        <c:crossesAt val="-6.0000000000000032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Phillips Curve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APPENDIX'!$BX$7:$BX$27</c:f>
              <c:numCache>
                <c:formatCode>0.0%</c:formatCode>
                <c:ptCount val="21"/>
                <c:pt idx="0">
                  <c:v>5.5E-2</c:v>
                </c:pt>
                <c:pt idx="1">
                  <c:v>5.3999999999999999E-2</c:v>
                </c:pt>
                <c:pt idx="2">
                  <c:v>5.2999999999999999E-2</c:v>
                </c:pt>
                <c:pt idx="3">
                  <c:v>5.1999999999999998E-2</c:v>
                </c:pt>
                <c:pt idx="4">
                  <c:v>5.0999999999999997E-2</c:v>
                </c:pt>
                <c:pt idx="5">
                  <c:v>0.05</c:v>
                </c:pt>
                <c:pt idx="6">
                  <c:v>4.9000000000000002E-2</c:v>
                </c:pt>
                <c:pt idx="7">
                  <c:v>4.8000000000000001E-2</c:v>
                </c:pt>
                <c:pt idx="8">
                  <c:v>4.7E-2</c:v>
                </c:pt>
                <c:pt idx="9">
                  <c:v>4.5999999999999999E-2</c:v>
                </c:pt>
                <c:pt idx="10">
                  <c:v>4.4999999999999998E-2</c:v>
                </c:pt>
                <c:pt idx="11">
                  <c:v>4.3999999999999997E-2</c:v>
                </c:pt>
                <c:pt idx="12">
                  <c:v>4.2999999999999997E-2</c:v>
                </c:pt>
                <c:pt idx="13">
                  <c:v>4.1999999999999996E-2</c:v>
                </c:pt>
                <c:pt idx="14">
                  <c:v>4.0999999999999995E-2</c:v>
                </c:pt>
                <c:pt idx="15">
                  <c:v>3.9999999999999994E-2</c:v>
                </c:pt>
                <c:pt idx="16">
                  <c:v>3.9E-2</c:v>
                </c:pt>
                <c:pt idx="17">
                  <c:v>3.7999999999999999E-2</c:v>
                </c:pt>
                <c:pt idx="18">
                  <c:v>3.6999999999999998E-2</c:v>
                </c:pt>
                <c:pt idx="19">
                  <c:v>3.5999999999999997E-2</c:v>
                </c:pt>
                <c:pt idx="20">
                  <c:v>3.4999999999999996E-2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99-4617-A241-AE17CC76039C}"/>
            </c:ext>
          </c:extLst>
        </c:ser>
        <c:ser>
          <c:idx val="1"/>
          <c:order val="1"/>
          <c:spPr>
            <a:ln w="1905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APPENDIX'!$BZ$7:$BZ$27</c:f>
              <c:numCache>
                <c:formatCode>0.0%</c:formatCode>
                <c:ptCount val="21"/>
                <c:pt idx="0">
                  <c:v>5.5E-2</c:v>
                </c:pt>
                <c:pt idx="1">
                  <c:v>5.3999999999999999E-2</c:v>
                </c:pt>
                <c:pt idx="2">
                  <c:v>5.2999999999999999E-2</c:v>
                </c:pt>
                <c:pt idx="3">
                  <c:v>5.1999999999999998E-2</c:v>
                </c:pt>
                <c:pt idx="4">
                  <c:v>5.0999999999999997E-2</c:v>
                </c:pt>
                <c:pt idx="5">
                  <c:v>0.05</c:v>
                </c:pt>
                <c:pt idx="6">
                  <c:v>4.9000000000000002E-2</c:v>
                </c:pt>
                <c:pt idx="7">
                  <c:v>4.8000000000000001E-2</c:v>
                </c:pt>
                <c:pt idx="8">
                  <c:v>4.7E-2</c:v>
                </c:pt>
                <c:pt idx="9">
                  <c:v>4.5999999999999999E-2</c:v>
                </c:pt>
                <c:pt idx="10">
                  <c:v>4.4999999999999998E-2</c:v>
                </c:pt>
                <c:pt idx="11">
                  <c:v>4.3999999999999997E-2</c:v>
                </c:pt>
                <c:pt idx="12">
                  <c:v>4.2999999999999997E-2</c:v>
                </c:pt>
                <c:pt idx="13">
                  <c:v>4.1999999999999996E-2</c:v>
                </c:pt>
                <c:pt idx="14">
                  <c:v>4.0999999999999995E-2</c:v>
                </c:pt>
                <c:pt idx="15">
                  <c:v>3.9999999999999994E-2</c:v>
                </c:pt>
                <c:pt idx="16">
                  <c:v>3.9E-2</c:v>
                </c:pt>
                <c:pt idx="17">
                  <c:v>3.7999999999999999E-2</c:v>
                </c:pt>
                <c:pt idx="18">
                  <c:v>3.6999999999999998E-2</c:v>
                </c:pt>
                <c:pt idx="19">
                  <c:v>3.5999999999999997E-2</c:v>
                </c:pt>
                <c:pt idx="20">
                  <c:v>3.4999999999999996E-2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99-4617-A241-AE17CC76039C}"/>
            </c:ext>
          </c:extLst>
        </c:ser>
        <c:ser>
          <c:idx val="2"/>
          <c:order val="2"/>
          <c:spPr>
            <a:ln w="19050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APPENDIX'!$CB$7:$CB$27</c:f>
              <c:numCache>
                <c:formatCode>0.0%</c:formatCode>
                <c:ptCount val="21"/>
                <c:pt idx="0">
                  <c:v>5.5E-2</c:v>
                </c:pt>
                <c:pt idx="1">
                  <c:v>5.3999999999999999E-2</c:v>
                </c:pt>
                <c:pt idx="2">
                  <c:v>5.2999999999999999E-2</c:v>
                </c:pt>
                <c:pt idx="3">
                  <c:v>5.1999999999999998E-2</c:v>
                </c:pt>
                <c:pt idx="4">
                  <c:v>5.0999999999999997E-2</c:v>
                </c:pt>
                <c:pt idx="5">
                  <c:v>0.05</c:v>
                </c:pt>
                <c:pt idx="6">
                  <c:v>4.9000000000000002E-2</c:v>
                </c:pt>
                <c:pt idx="7">
                  <c:v>4.8000000000000001E-2</c:v>
                </c:pt>
                <c:pt idx="8">
                  <c:v>4.7E-2</c:v>
                </c:pt>
                <c:pt idx="9">
                  <c:v>4.5999999999999999E-2</c:v>
                </c:pt>
                <c:pt idx="10">
                  <c:v>4.4999999999999998E-2</c:v>
                </c:pt>
                <c:pt idx="11">
                  <c:v>4.3999999999999997E-2</c:v>
                </c:pt>
                <c:pt idx="12">
                  <c:v>4.2999999999999997E-2</c:v>
                </c:pt>
                <c:pt idx="13">
                  <c:v>4.1999999999999996E-2</c:v>
                </c:pt>
                <c:pt idx="14">
                  <c:v>4.0999999999999995E-2</c:v>
                </c:pt>
                <c:pt idx="15">
                  <c:v>3.9999999999999994E-2</c:v>
                </c:pt>
                <c:pt idx="16">
                  <c:v>3.9E-2</c:v>
                </c:pt>
                <c:pt idx="17">
                  <c:v>3.7999999999999999E-2</c:v>
                </c:pt>
                <c:pt idx="18">
                  <c:v>3.6999999999999998E-2</c:v>
                </c:pt>
                <c:pt idx="19">
                  <c:v>3.5999999999999997E-2</c:v>
                </c:pt>
                <c:pt idx="20">
                  <c:v>3.4999999999999996E-2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99-4617-A241-AE17CC76039C}"/>
            </c:ext>
          </c:extLst>
        </c:ser>
        <c:ser>
          <c:idx val="3"/>
          <c:order val="3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APPENDIX'!$BY$33:$BY$34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APPENDIX'!$BZ$33:$BZ$34</c:f>
              <c:numCache>
                <c:formatCode>0.0%</c:formatCode>
                <c:ptCount val="2"/>
                <c:pt idx="0">
                  <c:v>-0.1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99-4617-A241-AE17CC76039C}"/>
            </c:ext>
          </c:extLst>
        </c:ser>
        <c:ser>
          <c:idx val="4"/>
          <c:order val="4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APPENDIX'!$BY$37:$BY$38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APPENDIX'!$BZ$37:$BZ$38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99-4617-A241-AE17CC76039C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1"/>
            <c:bubble3D val="0"/>
            <c:spPr>
              <a:ln w="12700" cap="rnd">
                <a:solidFill>
                  <a:schemeClr val="tx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199-4617-A241-AE17CC76039C}"/>
              </c:ext>
            </c:extLst>
          </c:dPt>
          <c:xVal>
            <c:numRef>
              <c:f>'OPTIONAL FULL MODEL APPENDIX'!$BY$42:$BY$43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APPENDIX'!$BZ$42:$BZ$43</c:f>
              <c:numCache>
                <c:formatCode>0.0%</c:formatCode>
                <c:ptCount val="2"/>
                <c:pt idx="0">
                  <c:v>-0.1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199-4617-A241-AE17CC76039C}"/>
            </c:ext>
          </c:extLst>
        </c:ser>
        <c:ser>
          <c:idx val="6"/>
          <c:order val="6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APPENDIX'!$BY$46:$BY$47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APPENDIX'!$BZ$46:$BZ$47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199-4617-A241-AE17CC76039C}"/>
            </c:ext>
          </c:extLst>
        </c:ser>
        <c:ser>
          <c:idx val="7"/>
          <c:order val="7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APPENDIX'!$BY$51:$BY$52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APPENDIX'!$BZ$51:$BZ$52</c:f>
              <c:numCache>
                <c:formatCode>0.0%</c:formatCode>
                <c:ptCount val="2"/>
                <c:pt idx="0">
                  <c:v>-0.1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199-4617-A241-AE17CC76039C}"/>
            </c:ext>
          </c:extLst>
        </c:ser>
        <c:ser>
          <c:idx val="8"/>
          <c:order val="8"/>
          <c:spPr>
            <a:ln w="12700" cap="rnd">
              <a:solidFill>
                <a:schemeClr val="accent3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APPENDIX'!$BY$55:$BY$56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APPENDIX'!$BZ$55:$BZ$56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199-4617-A241-AE17CC76039C}"/>
            </c:ext>
          </c:extLst>
        </c:ser>
        <c:ser>
          <c:idx val="9"/>
          <c:order val="9"/>
          <c:tx>
            <c:strRef>
              <c:f>'OPTIONAL FULL MODEL APPENDIX'!$CA$31</c:f>
              <c:strCache>
                <c:ptCount val="1"/>
                <c:pt idx="0">
                  <c:v>base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99-4617-A241-AE17CC76039C}"/>
                </c:ext>
              </c:extLst>
            </c:dLbl>
            <c:dLbl>
              <c:idx val="1"/>
              <c:layout>
                <c:manualLayout>
                  <c:x val="-2.5000000000000112E-2"/>
                  <c:y val="4.499437570303713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99-4617-A241-AE17CC7603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APPENDIX'!$CA$33:$CA$34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APPENDIX'!$CB$33:$CB$34</c:f>
              <c:numCache>
                <c:formatCode>0.00%</c:formatCode>
                <c:ptCount val="2"/>
                <c:pt idx="0" formatCode="0.0%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199-4617-A241-AE17CC76039C}"/>
            </c:ext>
          </c:extLst>
        </c:ser>
        <c:ser>
          <c:idx val="10"/>
          <c:order val="10"/>
          <c:tx>
            <c:strRef>
              <c:f>'OPTIONAL FULL MODEL APPENDIX'!$CA$40</c:f>
              <c:strCache>
                <c:ptCount val="1"/>
                <c:pt idx="0">
                  <c:v>(i)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99-4617-A241-AE17CC7603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99-4617-A241-AE17CC7603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APPENDIX'!$CA$42:$CA$43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APPENDIX'!$CB$42:$CB$43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199-4617-A241-AE17CC76039C}"/>
            </c:ext>
          </c:extLst>
        </c:ser>
        <c:ser>
          <c:idx val="11"/>
          <c:order val="11"/>
          <c:tx>
            <c:strRef>
              <c:f>'OPTIONAL FULL MODEL APPENDIX'!$CA$49</c:f>
              <c:strCache>
                <c:ptCount val="1"/>
                <c:pt idx="0">
                  <c:v>(ii)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99-4617-A241-AE17CC7603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99-4617-A241-AE17CC7603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APPENDIX'!$CA$51:$CA$52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APPENDIX'!$CB$51:$CB$52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199-4617-A241-AE17CC760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743376"/>
        <c:axId val="706743768"/>
      </c:scatterChart>
      <c:valAx>
        <c:axId val="706743376"/>
        <c:scaling>
          <c:orientation val="minMax"/>
          <c:max val="5.0000000000000024E-2"/>
          <c:min val="-5.0000000000000024E-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Output gap (in percent)</a:t>
                </a:r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43768"/>
        <c:crossesAt val="-6.0000000000000032E-2"/>
        <c:crossBetween val="midCat"/>
      </c:valAx>
      <c:valAx>
        <c:axId val="706743768"/>
        <c:scaling>
          <c:orientation val="minMax"/>
          <c:max val="0.12000000000000001"/>
          <c:min val="1.0000000000000002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Inflation rate (in percent)</a:t>
                </a:r>
              </a:p>
            </c:rich>
          </c:tx>
          <c:overlay val="0"/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43376"/>
        <c:crossesAt val="-6.0000000000000032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Net Exports and Real Exchange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7175371712199144"/>
          <c:y val="0.17206698237405921"/>
          <c:w val="0.78663604441325108"/>
          <c:h val="0.6219383274716572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APPENDIX'!$CG$7:$CG$27</c:f>
              <c:numCache>
                <c:formatCode>0.0%</c:formatCode>
                <c:ptCount val="21"/>
                <c:pt idx="0">
                  <c:v>5.914179013873691E-2</c:v>
                </c:pt>
                <c:pt idx="1">
                  <c:v>5.1611233968892403E-2</c:v>
                </c:pt>
                <c:pt idx="2">
                  <c:v>4.4118143252629652E-2</c:v>
                </c:pt>
                <c:pt idx="3">
                  <c:v>3.6662331594656504E-2</c:v>
                </c:pt>
                <c:pt idx="4">
                  <c:v>2.9243613527021553E-2</c:v>
                </c:pt>
                <c:pt idx="5">
                  <c:v>2.1861804504499309E-2</c:v>
                </c:pt>
                <c:pt idx="6">
                  <c:v>1.4516720899999586E-2</c:v>
                </c:pt>
                <c:pt idx="7">
                  <c:v>7.2081799999996823E-3</c:v>
                </c:pt>
                <c:pt idx="8">
                  <c:v>-6.4000000000181967E-5</c:v>
                </c:pt>
                <c:pt idx="9">
                  <c:v>-7.2999999999999446E-3</c:v>
                </c:pt>
                <c:pt idx="10">
                  <c:v>-1.4499999999999791E-2</c:v>
                </c:pt>
                <c:pt idx="11">
                  <c:v>-2.1699999999999796E-2</c:v>
                </c:pt>
                <c:pt idx="12">
                  <c:v>-2.8863999999999886E-2</c:v>
                </c:pt>
                <c:pt idx="13">
                  <c:v>-3.5992179999999763E-2</c:v>
                </c:pt>
                <c:pt idx="14">
                  <c:v>-4.3084719099999863E-2</c:v>
                </c:pt>
                <c:pt idx="15">
                  <c:v>-5.0141795504499979E-2</c:v>
                </c:pt>
                <c:pt idx="16">
                  <c:v>-5.716358652697761E-2</c:v>
                </c:pt>
                <c:pt idx="17">
                  <c:v>-6.4150268594342474E-2</c:v>
                </c:pt>
                <c:pt idx="18">
                  <c:v>-7.1102017251370914E-2</c:v>
                </c:pt>
                <c:pt idx="19">
                  <c:v>-7.8019007165114104E-2</c:v>
                </c:pt>
                <c:pt idx="20">
                  <c:v>-8.4901412129288464E-2</c:v>
                </c:pt>
              </c:numCache>
            </c:numRef>
          </c:xVal>
          <c:yVal>
            <c:numRef>
              <c:f>'OPTIONAL FULL MODEL APPENDIX'!$CE$7:$CE$27</c:f>
              <c:numCache>
                <c:formatCode>0.0</c:formatCode>
                <c:ptCount val="21"/>
                <c:pt idx="0">
                  <c:v>105.11401320407893</c:v>
                </c:pt>
                <c:pt idx="1">
                  <c:v>104.59105791450641</c:v>
                </c:pt>
                <c:pt idx="2">
                  <c:v>104.0707043925437</c:v>
                </c:pt>
                <c:pt idx="3">
                  <c:v>103.55293969407334</c:v>
                </c:pt>
                <c:pt idx="4">
                  <c:v>103.03775093937648</c:v>
                </c:pt>
                <c:pt idx="5">
                  <c:v>102.52512531281243</c:v>
                </c:pt>
                <c:pt idx="6">
                  <c:v>102.01505006249995</c:v>
                </c:pt>
                <c:pt idx="7">
                  <c:v>101.50751249999996</c:v>
                </c:pt>
                <c:pt idx="8">
                  <c:v>101.00249999999997</c:v>
                </c:pt>
                <c:pt idx="9">
                  <c:v>100.49999999999999</c:v>
                </c:pt>
                <c:pt idx="10">
                  <c:v>100</c:v>
                </c:pt>
                <c:pt idx="11">
                  <c:v>99.5</c:v>
                </c:pt>
                <c:pt idx="12">
                  <c:v>99.002499999999998</c:v>
                </c:pt>
                <c:pt idx="13">
                  <c:v>98.507487499999996</c:v>
                </c:pt>
                <c:pt idx="14">
                  <c:v>98.014950062499992</c:v>
                </c:pt>
                <c:pt idx="15">
                  <c:v>97.52487531218749</c:v>
                </c:pt>
                <c:pt idx="16">
                  <c:v>97.037250935626545</c:v>
                </c:pt>
                <c:pt idx="17">
                  <c:v>96.552064680948419</c:v>
                </c:pt>
                <c:pt idx="18">
                  <c:v>96.069304357543672</c:v>
                </c:pt>
                <c:pt idx="19">
                  <c:v>95.588957835755949</c:v>
                </c:pt>
                <c:pt idx="20">
                  <c:v>95.11101304657717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02-4E6D-846D-3AB51BF84D3A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APPENDIX'!$CI$7:$CI$27</c:f>
              <c:numCache>
                <c:formatCode>0.0%</c:formatCode>
                <c:ptCount val="21"/>
                <c:pt idx="0">
                  <c:v>5.914179013873691E-2</c:v>
                </c:pt>
                <c:pt idx="1">
                  <c:v>5.1611233968892403E-2</c:v>
                </c:pt>
                <c:pt idx="2">
                  <c:v>4.4118143252629652E-2</c:v>
                </c:pt>
                <c:pt idx="3">
                  <c:v>3.6662331594656504E-2</c:v>
                </c:pt>
                <c:pt idx="4">
                  <c:v>2.9243613527021553E-2</c:v>
                </c:pt>
                <c:pt idx="5">
                  <c:v>2.1861804504499309E-2</c:v>
                </c:pt>
                <c:pt idx="6">
                  <c:v>1.4516720899999586E-2</c:v>
                </c:pt>
                <c:pt idx="7">
                  <c:v>7.2081799999996823E-3</c:v>
                </c:pt>
                <c:pt idx="8">
                  <c:v>-6.4000000000181967E-5</c:v>
                </c:pt>
                <c:pt idx="9">
                  <c:v>-7.2999999999999446E-3</c:v>
                </c:pt>
                <c:pt idx="10">
                  <c:v>-1.4499999999999791E-2</c:v>
                </c:pt>
                <c:pt idx="11">
                  <c:v>-2.1699999999999796E-2</c:v>
                </c:pt>
                <c:pt idx="12">
                  <c:v>-2.8863999999999886E-2</c:v>
                </c:pt>
                <c:pt idx="13">
                  <c:v>-3.5992179999999763E-2</c:v>
                </c:pt>
                <c:pt idx="14">
                  <c:v>-4.3084719099999863E-2</c:v>
                </c:pt>
                <c:pt idx="15">
                  <c:v>-5.0141795504499979E-2</c:v>
                </c:pt>
                <c:pt idx="16">
                  <c:v>-5.716358652697761E-2</c:v>
                </c:pt>
                <c:pt idx="17">
                  <c:v>-6.4150268594342474E-2</c:v>
                </c:pt>
                <c:pt idx="18">
                  <c:v>-7.1102017251370914E-2</c:v>
                </c:pt>
                <c:pt idx="19">
                  <c:v>-7.8019007165114104E-2</c:v>
                </c:pt>
                <c:pt idx="20">
                  <c:v>-8.4901412129288464E-2</c:v>
                </c:pt>
              </c:numCache>
            </c:numRef>
          </c:xVal>
          <c:yVal>
            <c:numRef>
              <c:f>'OPTIONAL FULL MODEL APPENDIX'!$CE$7:$CE$27</c:f>
              <c:numCache>
                <c:formatCode>0.0</c:formatCode>
                <c:ptCount val="21"/>
                <c:pt idx="0">
                  <c:v>105.11401320407893</c:v>
                </c:pt>
                <c:pt idx="1">
                  <c:v>104.59105791450641</c:v>
                </c:pt>
                <c:pt idx="2">
                  <c:v>104.0707043925437</c:v>
                </c:pt>
                <c:pt idx="3">
                  <c:v>103.55293969407334</c:v>
                </c:pt>
                <c:pt idx="4">
                  <c:v>103.03775093937648</c:v>
                </c:pt>
                <c:pt idx="5">
                  <c:v>102.52512531281243</c:v>
                </c:pt>
                <c:pt idx="6">
                  <c:v>102.01505006249995</c:v>
                </c:pt>
                <c:pt idx="7">
                  <c:v>101.50751249999996</c:v>
                </c:pt>
                <c:pt idx="8">
                  <c:v>101.00249999999997</c:v>
                </c:pt>
                <c:pt idx="9">
                  <c:v>100.49999999999999</c:v>
                </c:pt>
                <c:pt idx="10">
                  <c:v>100</c:v>
                </c:pt>
                <c:pt idx="11">
                  <c:v>99.5</c:v>
                </c:pt>
                <c:pt idx="12">
                  <c:v>99.002499999999998</c:v>
                </c:pt>
                <c:pt idx="13">
                  <c:v>98.507487499999996</c:v>
                </c:pt>
                <c:pt idx="14">
                  <c:v>98.014950062499992</c:v>
                </c:pt>
                <c:pt idx="15">
                  <c:v>97.52487531218749</c:v>
                </c:pt>
                <c:pt idx="16">
                  <c:v>97.037250935626545</c:v>
                </c:pt>
                <c:pt idx="17">
                  <c:v>96.552064680948419</c:v>
                </c:pt>
                <c:pt idx="18">
                  <c:v>96.069304357543672</c:v>
                </c:pt>
                <c:pt idx="19">
                  <c:v>95.588957835755949</c:v>
                </c:pt>
                <c:pt idx="20">
                  <c:v>95.11101304657717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02-4E6D-846D-3AB51BF84D3A}"/>
            </c:ext>
          </c:extLst>
        </c:ser>
        <c:ser>
          <c:idx val="2"/>
          <c:order val="2"/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'OPTIONAL FULL MODEL APPENDIX'!$CK$7:$CK$27</c:f>
              <c:numCache>
                <c:formatCode>0.0%</c:formatCode>
                <c:ptCount val="21"/>
                <c:pt idx="0">
                  <c:v>5.914179013873691E-2</c:v>
                </c:pt>
                <c:pt idx="1">
                  <c:v>5.1611233968892403E-2</c:v>
                </c:pt>
                <c:pt idx="2">
                  <c:v>4.4118143252629652E-2</c:v>
                </c:pt>
                <c:pt idx="3">
                  <c:v>3.6662331594656504E-2</c:v>
                </c:pt>
                <c:pt idx="4">
                  <c:v>2.9243613527021553E-2</c:v>
                </c:pt>
                <c:pt idx="5">
                  <c:v>2.1861804504499309E-2</c:v>
                </c:pt>
                <c:pt idx="6">
                  <c:v>1.4516720899999586E-2</c:v>
                </c:pt>
                <c:pt idx="7">
                  <c:v>7.2081799999996823E-3</c:v>
                </c:pt>
                <c:pt idx="8">
                  <c:v>-6.4000000000181967E-5</c:v>
                </c:pt>
                <c:pt idx="9">
                  <c:v>-7.2999999999999446E-3</c:v>
                </c:pt>
                <c:pt idx="10">
                  <c:v>-1.4499999999999791E-2</c:v>
                </c:pt>
                <c:pt idx="11">
                  <c:v>-2.1699999999999796E-2</c:v>
                </c:pt>
                <c:pt idx="12">
                  <c:v>-2.8863999999999886E-2</c:v>
                </c:pt>
                <c:pt idx="13">
                  <c:v>-3.5992179999999763E-2</c:v>
                </c:pt>
                <c:pt idx="14">
                  <c:v>-4.3084719099999863E-2</c:v>
                </c:pt>
                <c:pt idx="15">
                  <c:v>-5.0141795504499979E-2</c:v>
                </c:pt>
                <c:pt idx="16">
                  <c:v>-5.716358652697761E-2</c:v>
                </c:pt>
                <c:pt idx="17">
                  <c:v>-6.4150268594342474E-2</c:v>
                </c:pt>
                <c:pt idx="18">
                  <c:v>-7.1102017251370914E-2</c:v>
                </c:pt>
                <c:pt idx="19">
                  <c:v>-7.8019007165114104E-2</c:v>
                </c:pt>
                <c:pt idx="20">
                  <c:v>-8.4901412129288464E-2</c:v>
                </c:pt>
              </c:numCache>
            </c:numRef>
          </c:xVal>
          <c:yVal>
            <c:numRef>
              <c:f>'OPTIONAL FULL MODEL APPENDIX'!$CE$7:$CE$27</c:f>
              <c:numCache>
                <c:formatCode>0.0</c:formatCode>
                <c:ptCount val="21"/>
                <c:pt idx="0">
                  <c:v>105.11401320407893</c:v>
                </c:pt>
                <c:pt idx="1">
                  <c:v>104.59105791450641</c:v>
                </c:pt>
                <c:pt idx="2">
                  <c:v>104.0707043925437</c:v>
                </c:pt>
                <c:pt idx="3">
                  <c:v>103.55293969407334</c:v>
                </c:pt>
                <c:pt idx="4">
                  <c:v>103.03775093937648</c:v>
                </c:pt>
                <c:pt idx="5">
                  <c:v>102.52512531281243</c:v>
                </c:pt>
                <c:pt idx="6">
                  <c:v>102.01505006249995</c:v>
                </c:pt>
                <c:pt idx="7">
                  <c:v>101.50751249999996</c:v>
                </c:pt>
                <c:pt idx="8">
                  <c:v>101.00249999999997</c:v>
                </c:pt>
                <c:pt idx="9">
                  <c:v>100.49999999999999</c:v>
                </c:pt>
                <c:pt idx="10">
                  <c:v>100</c:v>
                </c:pt>
                <c:pt idx="11">
                  <c:v>99.5</c:v>
                </c:pt>
                <c:pt idx="12">
                  <c:v>99.002499999999998</c:v>
                </c:pt>
                <c:pt idx="13">
                  <c:v>98.507487499999996</c:v>
                </c:pt>
                <c:pt idx="14">
                  <c:v>98.014950062499992</c:v>
                </c:pt>
                <c:pt idx="15">
                  <c:v>97.52487531218749</c:v>
                </c:pt>
                <c:pt idx="16">
                  <c:v>97.037250935626545</c:v>
                </c:pt>
                <c:pt idx="17">
                  <c:v>96.552064680948419</c:v>
                </c:pt>
                <c:pt idx="18">
                  <c:v>96.069304357543672</c:v>
                </c:pt>
                <c:pt idx="19">
                  <c:v>95.588957835755949</c:v>
                </c:pt>
                <c:pt idx="20">
                  <c:v>95.11101304657717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202-4E6D-846D-3AB51BF84D3A}"/>
            </c:ext>
          </c:extLst>
        </c:ser>
        <c:ser>
          <c:idx val="3"/>
          <c:order val="3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APPENDIX'!$CG$33:$CG$34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APPENDIX'!$CH$33:$CH$34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202-4E6D-846D-3AB51BF84D3A}"/>
            </c:ext>
          </c:extLst>
        </c:ser>
        <c:ser>
          <c:idx val="4"/>
          <c:order val="4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APPENDIX'!$CI$33:$CI$34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APPENDIX'!$CJ$33:$CJ$34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202-4E6D-846D-3AB51BF84D3A}"/>
            </c:ext>
          </c:extLst>
        </c:ser>
        <c:ser>
          <c:idx val="5"/>
          <c:order val="5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APPENDIX'!$CG$42:$CG$43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APPENDIX'!$CH$42:$CH$43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202-4E6D-846D-3AB51BF84D3A}"/>
            </c:ext>
          </c:extLst>
        </c:ser>
        <c:ser>
          <c:idx val="6"/>
          <c:order val="6"/>
          <c:spPr>
            <a:ln w="12700">
              <a:solidFill>
                <a:prstClr val="black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APPENDIX'!$CI$42:$CI$43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APPENDIX'!$CJ$42:$CJ$43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202-4E6D-846D-3AB51BF84D3A}"/>
            </c:ext>
          </c:extLst>
        </c:ser>
        <c:ser>
          <c:idx val="7"/>
          <c:order val="7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APPENDIX'!$CG$52:$CG$53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APPENDIX'!$CH$52:$CH$53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202-4E6D-846D-3AB51BF84D3A}"/>
            </c:ext>
          </c:extLst>
        </c:ser>
        <c:ser>
          <c:idx val="8"/>
          <c:order val="8"/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'OPTIONAL FULL MODEL APPENDIX'!$CI$52:$CI$53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APPENDIX'!$CJ$52:$CJ$53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202-4E6D-846D-3AB51BF84D3A}"/>
            </c:ext>
          </c:extLst>
        </c:ser>
        <c:ser>
          <c:idx val="9"/>
          <c:order val="9"/>
          <c:tx>
            <c:strRef>
              <c:f>'OPTIONAL FULL MODEL APPENDIX'!$CG$31</c:f>
              <c:strCache>
                <c:ptCount val="1"/>
                <c:pt idx="0">
                  <c:v>base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02-4E6D-846D-3AB51BF84D3A}"/>
                </c:ext>
              </c:extLst>
            </c:dLbl>
            <c:dLbl>
              <c:idx val="1"/>
              <c:layout>
                <c:manualLayout>
                  <c:x val="-1.3949161347862428E-2"/>
                  <c:y val="4.639174504558080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02-4E6D-846D-3AB51BF84D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APPENDIX'!$CG$36:$CG$37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APPENDIX'!$CH$36:$CH$37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202-4E6D-846D-3AB51BF84D3A}"/>
            </c:ext>
          </c:extLst>
        </c:ser>
        <c:ser>
          <c:idx val="10"/>
          <c:order val="10"/>
          <c:tx>
            <c:strRef>
              <c:f>'OPTIONAL FULL MODEL APPENDIX'!$CG$40</c:f>
              <c:strCache>
                <c:ptCount val="1"/>
                <c:pt idx="0">
                  <c:v>(i)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02-4E6D-846D-3AB51BF84D3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02-4E6D-846D-3AB51BF84D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APPENDIX'!$CG$45:$CG$46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APPENDIX'!$CH$45:$CH$46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202-4E6D-846D-3AB51BF84D3A}"/>
            </c:ext>
          </c:extLst>
        </c:ser>
        <c:ser>
          <c:idx val="11"/>
          <c:order val="11"/>
          <c:tx>
            <c:strRef>
              <c:f>'OPTIONAL FULL MODEL APPENDIX'!$CG$50</c:f>
              <c:strCache>
                <c:ptCount val="1"/>
                <c:pt idx="0">
                  <c:v>(ii)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02-4E6D-846D-3AB51BF84D3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02-4E6D-846D-3AB51BF84D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APPENDIX'!$CG$55:$CG$56</c:f>
              <c:numCache>
                <c:formatCode>0.0%</c:formatCode>
                <c:ptCount val="2"/>
                <c:pt idx="0">
                  <c:v>-1.4499999999999782E-2</c:v>
                </c:pt>
                <c:pt idx="1">
                  <c:v>-1.4499999999999782E-2</c:v>
                </c:pt>
              </c:numCache>
            </c:numRef>
          </c:xVal>
          <c:yVal>
            <c:numRef>
              <c:f>'OPTIONAL FULL MODEL APPENDIX'!$CH$55:$CH$56</c:f>
              <c:numCache>
                <c:formatCode>0.0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2202-4E6D-846D-3AB51BF84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744552"/>
        <c:axId val="706744944"/>
      </c:scatterChart>
      <c:valAx>
        <c:axId val="706744552"/>
        <c:scaling>
          <c:orientation val="minMax"/>
          <c:max val="2.5000000000000005E-2"/>
          <c:min val="-6.0000000000000012E-2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Net exports (in percent of potential</a:t>
                </a:r>
                <a:r>
                  <a:rPr lang="en-US" b="0" baseline="0"/>
                  <a:t> output)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26931171364306933"/>
              <c:y val="0.88770844250717507"/>
            </c:manualLayout>
          </c:layout>
          <c:overlay val="0"/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44944"/>
        <c:crosses val="autoZero"/>
        <c:crossBetween val="midCat"/>
      </c:valAx>
      <c:valAx>
        <c:axId val="706744944"/>
        <c:scaling>
          <c:orientation val="minMax"/>
          <c:max val="106"/>
          <c:min val="9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800" b="0"/>
                </a:pPr>
                <a:r>
                  <a:rPr lang="en-US" sz="800" b="0"/>
                  <a:t>Real exchange rate index </a:t>
                </a:r>
              </a:p>
              <a:p>
                <a:pPr>
                  <a:defRPr sz="800" b="0"/>
                </a:pPr>
                <a:r>
                  <a:rPr lang="en-US" sz="800" b="0"/>
                  <a:t>(app -, base=100)</a:t>
                </a:r>
              </a:p>
            </c:rich>
          </c:tx>
          <c:layout>
            <c:manualLayout>
              <c:xMode val="edge"/>
              <c:yMode val="edge"/>
              <c:x val="3.361261807752884E-3"/>
              <c:y val="0.26151886697507193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44552"/>
        <c:crossesAt val="-7.0000000000000021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IS/RR Curve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6820932361302771"/>
          <c:y val="0.16014315695282533"/>
          <c:w val="0.78193806099231"/>
          <c:h val="0.6481370863473592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APPENDIX'!$AP$7:$AP$27</c:f>
              <c:numCache>
                <c:formatCode>0.00%</c:formatCode>
                <c:ptCount val="21"/>
                <c:pt idx="0">
                  <c:v>1.3148325358851676E-2</c:v>
                </c:pt>
                <c:pt idx="1">
                  <c:v>1.4833492822966506E-2</c:v>
                </c:pt>
                <c:pt idx="2">
                  <c:v>1.6518660287081339E-2</c:v>
                </c:pt>
                <c:pt idx="3">
                  <c:v>1.820382775119617E-2</c:v>
                </c:pt>
                <c:pt idx="4">
                  <c:v>1.9888995215311005E-2</c:v>
                </c:pt>
                <c:pt idx="5">
                  <c:v>2.1574162679425836E-2</c:v>
                </c:pt>
                <c:pt idx="6">
                  <c:v>2.3259330143540667E-2</c:v>
                </c:pt>
                <c:pt idx="7">
                  <c:v>2.4944497607655502E-2</c:v>
                </c:pt>
                <c:pt idx="8">
                  <c:v>2.6629665071770333E-2</c:v>
                </c:pt>
                <c:pt idx="9">
                  <c:v>2.8314832535885168E-2</c:v>
                </c:pt>
                <c:pt idx="10">
                  <c:v>0.03</c:v>
                </c:pt>
                <c:pt idx="11">
                  <c:v>3.168516746411483E-2</c:v>
                </c:pt>
                <c:pt idx="12">
                  <c:v>3.3370334928229661E-2</c:v>
                </c:pt>
                <c:pt idx="13">
                  <c:v>3.5055502392344493E-2</c:v>
                </c:pt>
                <c:pt idx="14">
                  <c:v>3.6740669856459331E-2</c:v>
                </c:pt>
                <c:pt idx="15">
                  <c:v>3.8425837320574162E-2</c:v>
                </c:pt>
                <c:pt idx="16">
                  <c:v>4.0111004784688993E-2</c:v>
                </c:pt>
                <c:pt idx="17">
                  <c:v>4.1796172248803831E-2</c:v>
                </c:pt>
                <c:pt idx="18">
                  <c:v>4.3481339712918662E-2</c:v>
                </c:pt>
                <c:pt idx="19">
                  <c:v>4.5166507177033494E-2</c:v>
                </c:pt>
                <c:pt idx="20">
                  <c:v>4.6851674641148325E-2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A5-4926-842B-FCF87BD09961}"/>
            </c:ext>
          </c:extLst>
        </c:ser>
        <c:ser>
          <c:idx val="1"/>
          <c:order val="1"/>
          <c:spPr>
            <a:ln w="1905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APPENDIX'!$AR$7:$AR$27</c:f>
              <c:numCache>
                <c:formatCode>0.00%</c:formatCode>
                <c:ptCount val="21"/>
                <c:pt idx="0">
                  <c:v>1.3148325358851676E-2</c:v>
                </c:pt>
                <c:pt idx="1">
                  <c:v>1.4833492822966506E-2</c:v>
                </c:pt>
                <c:pt idx="2">
                  <c:v>1.6518660287081339E-2</c:v>
                </c:pt>
                <c:pt idx="3">
                  <c:v>1.820382775119617E-2</c:v>
                </c:pt>
                <c:pt idx="4">
                  <c:v>1.9888995215311005E-2</c:v>
                </c:pt>
                <c:pt idx="5">
                  <c:v>2.1574162679425836E-2</c:v>
                </c:pt>
                <c:pt idx="6">
                  <c:v>2.3259330143540667E-2</c:v>
                </c:pt>
                <c:pt idx="7">
                  <c:v>2.4944497607655502E-2</c:v>
                </c:pt>
                <c:pt idx="8">
                  <c:v>2.6629665071770333E-2</c:v>
                </c:pt>
                <c:pt idx="9">
                  <c:v>2.8314832535885168E-2</c:v>
                </c:pt>
                <c:pt idx="10" formatCode="0.0%">
                  <c:v>0.03</c:v>
                </c:pt>
                <c:pt idx="11">
                  <c:v>3.168516746411483E-2</c:v>
                </c:pt>
                <c:pt idx="12">
                  <c:v>3.3370334928229661E-2</c:v>
                </c:pt>
                <c:pt idx="13">
                  <c:v>3.5055502392344493E-2</c:v>
                </c:pt>
                <c:pt idx="14">
                  <c:v>3.6740669856459331E-2</c:v>
                </c:pt>
                <c:pt idx="15">
                  <c:v>3.8425837320574162E-2</c:v>
                </c:pt>
                <c:pt idx="16">
                  <c:v>4.0111004784688993E-2</c:v>
                </c:pt>
                <c:pt idx="17">
                  <c:v>4.1796172248803831E-2</c:v>
                </c:pt>
                <c:pt idx="18">
                  <c:v>4.3481339712918662E-2</c:v>
                </c:pt>
                <c:pt idx="19">
                  <c:v>4.5166507177033494E-2</c:v>
                </c:pt>
                <c:pt idx="20">
                  <c:v>4.6851674641148325E-2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A5-4926-842B-FCF87BD09961}"/>
            </c:ext>
          </c:extLst>
        </c:ser>
        <c:ser>
          <c:idx val="2"/>
          <c:order val="2"/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APPENDIX'!$AT$7:$AT$27</c:f>
              <c:numCache>
                <c:formatCode>0.00%</c:formatCode>
                <c:ptCount val="21"/>
                <c:pt idx="0">
                  <c:v>1.3148325358851676E-2</c:v>
                </c:pt>
                <c:pt idx="1">
                  <c:v>1.4833492822966506E-2</c:v>
                </c:pt>
                <c:pt idx="2">
                  <c:v>1.6518660287081339E-2</c:v>
                </c:pt>
                <c:pt idx="3">
                  <c:v>1.820382775119617E-2</c:v>
                </c:pt>
                <c:pt idx="4">
                  <c:v>1.9888995215311005E-2</c:v>
                </c:pt>
                <c:pt idx="5">
                  <c:v>2.1574162679425836E-2</c:v>
                </c:pt>
                <c:pt idx="6">
                  <c:v>2.3259330143540667E-2</c:v>
                </c:pt>
                <c:pt idx="7">
                  <c:v>2.4944497607655502E-2</c:v>
                </c:pt>
                <c:pt idx="8">
                  <c:v>2.6629665071770333E-2</c:v>
                </c:pt>
                <c:pt idx="9">
                  <c:v>2.8314832535885168E-2</c:v>
                </c:pt>
                <c:pt idx="10">
                  <c:v>0.03</c:v>
                </c:pt>
                <c:pt idx="11">
                  <c:v>3.168516746411483E-2</c:v>
                </c:pt>
                <c:pt idx="12">
                  <c:v>3.3370334928229661E-2</c:v>
                </c:pt>
                <c:pt idx="13">
                  <c:v>3.5055502392344493E-2</c:v>
                </c:pt>
                <c:pt idx="14">
                  <c:v>3.6740669856459331E-2</c:v>
                </c:pt>
                <c:pt idx="15">
                  <c:v>3.8425837320574162E-2</c:v>
                </c:pt>
                <c:pt idx="16">
                  <c:v>4.0111004784688993E-2</c:v>
                </c:pt>
                <c:pt idx="17">
                  <c:v>4.1796172248803831E-2</c:v>
                </c:pt>
                <c:pt idx="18">
                  <c:v>4.3481339712918662E-2</c:v>
                </c:pt>
                <c:pt idx="19">
                  <c:v>4.5166507177033494E-2</c:v>
                </c:pt>
                <c:pt idx="20">
                  <c:v>4.6851674641148325E-2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A5-4926-842B-FCF87BD09961}"/>
            </c:ext>
          </c:extLst>
        </c:ser>
        <c:ser>
          <c:idx val="3"/>
          <c:order val="3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APPENDIX'!$BI$7:$BI$27</c:f>
              <c:numCache>
                <c:formatCode>0.0%</c:formatCode>
                <c:ptCount val="21"/>
                <c:pt idx="0">
                  <c:v>7.2000000000000008E-2</c:v>
                </c:pt>
                <c:pt idx="1">
                  <c:v>6.7799999999999999E-2</c:v>
                </c:pt>
                <c:pt idx="2">
                  <c:v>6.3600000000000004E-2</c:v>
                </c:pt>
                <c:pt idx="3">
                  <c:v>5.9400000000000008E-2</c:v>
                </c:pt>
                <c:pt idx="4">
                  <c:v>5.5199999999999999E-2</c:v>
                </c:pt>
                <c:pt idx="5">
                  <c:v>5.1000000000000004E-2</c:v>
                </c:pt>
                <c:pt idx="6">
                  <c:v>4.6800000000000008E-2</c:v>
                </c:pt>
                <c:pt idx="7">
                  <c:v>4.2599999999999999E-2</c:v>
                </c:pt>
                <c:pt idx="8">
                  <c:v>3.8400000000000004E-2</c:v>
                </c:pt>
                <c:pt idx="9">
                  <c:v>3.4200000000000001E-2</c:v>
                </c:pt>
                <c:pt idx="10">
                  <c:v>0.03</c:v>
                </c:pt>
                <c:pt idx="11">
                  <c:v>2.58E-2</c:v>
                </c:pt>
                <c:pt idx="12">
                  <c:v>2.1600000000000001E-2</c:v>
                </c:pt>
                <c:pt idx="13">
                  <c:v>1.7399999999999999E-2</c:v>
                </c:pt>
                <c:pt idx="14">
                  <c:v>1.3199999999999998E-2</c:v>
                </c:pt>
                <c:pt idx="15">
                  <c:v>8.9999999999999976E-3</c:v>
                </c:pt>
                <c:pt idx="16">
                  <c:v>4.799999999999997E-3</c:v>
                </c:pt>
                <c:pt idx="17">
                  <c:v>5.999999999999929E-4</c:v>
                </c:pt>
                <c:pt idx="18">
                  <c:v>-3.6000000000000042E-3</c:v>
                </c:pt>
                <c:pt idx="19">
                  <c:v>-7.8000000000000014E-3</c:v>
                </c:pt>
                <c:pt idx="20">
                  <c:v>-1.1999999999999999E-2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1A5-4926-842B-FCF87BD09961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APPENDIX'!$BK$7:$BK$27</c:f>
              <c:numCache>
                <c:formatCode>0.0%</c:formatCode>
                <c:ptCount val="21"/>
                <c:pt idx="0">
                  <c:v>7.2000000000000008E-2</c:v>
                </c:pt>
                <c:pt idx="1">
                  <c:v>6.7799999999999999E-2</c:v>
                </c:pt>
                <c:pt idx="2">
                  <c:v>6.3600000000000004E-2</c:v>
                </c:pt>
                <c:pt idx="3">
                  <c:v>5.9400000000000008E-2</c:v>
                </c:pt>
                <c:pt idx="4">
                  <c:v>5.5199999999999999E-2</c:v>
                </c:pt>
                <c:pt idx="5">
                  <c:v>5.1000000000000004E-2</c:v>
                </c:pt>
                <c:pt idx="6">
                  <c:v>4.6800000000000008E-2</c:v>
                </c:pt>
                <c:pt idx="7">
                  <c:v>4.2599999999999999E-2</c:v>
                </c:pt>
                <c:pt idx="8">
                  <c:v>3.8400000000000004E-2</c:v>
                </c:pt>
                <c:pt idx="9">
                  <c:v>3.4200000000000001E-2</c:v>
                </c:pt>
                <c:pt idx="10">
                  <c:v>0.03</c:v>
                </c:pt>
                <c:pt idx="11">
                  <c:v>2.58E-2</c:v>
                </c:pt>
                <c:pt idx="12">
                  <c:v>2.1600000000000001E-2</c:v>
                </c:pt>
                <c:pt idx="13">
                  <c:v>1.7399999999999999E-2</c:v>
                </c:pt>
                <c:pt idx="14">
                  <c:v>1.3199999999999998E-2</c:v>
                </c:pt>
                <c:pt idx="15">
                  <c:v>8.9999999999999976E-3</c:v>
                </c:pt>
                <c:pt idx="16">
                  <c:v>4.799999999999997E-3</c:v>
                </c:pt>
                <c:pt idx="17">
                  <c:v>5.999999999999929E-4</c:v>
                </c:pt>
                <c:pt idx="18">
                  <c:v>-3.6000000000000042E-3</c:v>
                </c:pt>
                <c:pt idx="19">
                  <c:v>-7.8000000000000014E-3</c:v>
                </c:pt>
                <c:pt idx="20">
                  <c:v>-1.1999999999999999E-2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1A5-4926-842B-FCF87BD09961}"/>
            </c:ext>
          </c:extLst>
        </c:ser>
        <c:ser>
          <c:idx val="5"/>
          <c:order val="5"/>
          <c:spPr>
            <a:ln w="19050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'OPTIONAL FULL MODEL APPENDIX'!$AN$7:$AN$27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'OPTIONAL FULL MODEL APPENDIX'!$BM$7:$BM$27</c:f>
              <c:numCache>
                <c:formatCode>0.0%</c:formatCode>
                <c:ptCount val="21"/>
                <c:pt idx="0">
                  <c:v>7.2000000000000008E-2</c:v>
                </c:pt>
                <c:pt idx="1">
                  <c:v>6.7799999999999999E-2</c:v>
                </c:pt>
                <c:pt idx="2">
                  <c:v>6.3600000000000004E-2</c:v>
                </c:pt>
                <c:pt idx="3">
                  <c:v>5.9400000000000008E-2</c:v>
                </c:pt>
                <c:pt idx="4">
                  <c:v>5.5199999999999999E-2</c:v>
                </c:pt>
                <c:pt idx="5">
                  <c:v>5.1000000000000004E-2</c:v>
                </c:pt>
                <c:pt idx="6">
                  <c:v>4.6800000000000008E-2</c:v>
                </c:pt>
                <c:pt idx="7">
                  <c:v>4.2599999999999999E-2</c:v>
                </c:pt>
                <c:pt idx="8">
                  <c:v>3.8400000000000004E-2</c:v>
                </c:pt>
                <c:pt idx="9">
                  <c:v>3.4200000000000001E-2</c:v>
                </c:pt>
                <c:pt idx="10">
                  <c:v>0.03</c:v>
                </c:pt>
                <c:pt idx="11">
                  <c:v>2.58E-2</c:v>
                </c:pt>
                <c:pt idx="12">
                  <c:v>2.1600000000000001E-2</c:v>
                </c:pt>
                <c:pt idx="13">
                  <c:v>1.7399999999999999E-2</c:v>
                </c:pt>
                <c:pt idx="14">
                  <c:v>1.3199999999999998E-2</c:v>
                </c:pt>
                <c:pt idx="15">
                  <c:v>8.9999999999999976E-3</c:v>
                </c:pt>
                <c:pt idx="16">
                  <c:v>4.799999999999997E-3</c:v>
                </c:pt>
                <c:pt idx="17">
                  <c:v>5.999999999999929E-4</c:v>
                </c:pt>
                <c:pt idx="18">
                  <c:v>-3.6000000000000042E-3</c:v>
                </c:pt>
                <c:pt idx="19">
                  <c:v>-7.8000000000000014E-3</c:v>
                </c:pt>
                <c:pt idx="20">
                  <c:v>-1.1999999999999999E-2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1A5-4926-842B-FCF87BD09961}"/>
            </c:ext>
          </c:extLst>
        </c:ser>
        <c:ser>
          <c:idx val="6"/>
          <c:order val="6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APPENDIX'!$AP$33:$AP$34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APPENDIX'!$AQ$33:$AQ$34</c:f>
              <c:numCache>
                <c:formatCode>0.0%</c:formatCode>
                <c:ptCount val="2"/>
                <c:pt idx="0">
                  <c:v>-0.1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1A5-4926-842B-FCF87BD09961}"/>
            </c:ext>
          </c:extLst>
        </c:ser>
        <c:ser>
          <c:idx val="7"/>
          <c:order val="7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APPENDIX'!$AP$37:$AP$38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APPENDIX'!$AQ$37:$AQ$38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1A5-4926-842B-FCF87BD09961}"/>
            </c:ext>
          </c:extLst>
        </c:ser>
        <c:ser>
          <c:idx val="8"/>
          <c:order val="8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APPENDIX'!$AP$42:$AP$43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APPENDIX'!$AQ$42:$AQ$43</c:f>
              <c:numCache>
                <c:formatCode>0.0%</c:formatCode>
                <c:ptCount val="2"/>
                <c:pt idx="0">
                  <c:v>-0.1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1A5-4926-842B-FCF87BD09961}"/>
            </c:ext>
          </c:extLst>
        </c:ser>
        <c:ser>
          <c:idx val="9"/>
          <c:order val="9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APPENDIX'!$AP$46:$AP$47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APPENDIX'!$AQ$46:$AQ$47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1A5-4926-842B-FCF87BD09961}"/>
            </c:ext>
          </c:extLst>
        </c:ser>
        <c:ser>
          <c:idx val="10"/>
          <c:order val="10"/>
          <c:spPr>
            <a:ln w="12700" cap="rnd">
              <a:solidFill>
                <a:schemeClr val="accent5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APPENDIX'!$AP$51:$AP$52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APPENDIX'!$AQ$51:$AQ$52</c:f>
              <c:numCache>
                <c:formatCode>0.0%</c:formatCode>
                <c:ptCount val="2"/>
                <c:pt idx="0">
                  <c:v>-0.1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1A5-4926-842B-FCF87BD09961}"/>
            </c:ext>
          </c:extLst>
        </c:ser>
        <c:ser>
          <c:idx val="11"/>
          <c:order val="11"/>
          <c:spPr>
            <a:ln w="12700" cap="rnd">
              <a:solidFill>
                <a:schemeClr val="accent6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'OPTIONAL FULL MODEL APPENDIX'!$AP$55:$AP$56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APPENDIX'!$AQ$55:$AQ$56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1A5-4926-842B-FCF87BD09961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'OPTIONAL FULL MODEL APPENDIX'!$AR$33:$AR$34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APPENDIX'!$AS$33:$AS$34</c:f>
              <c:numCache>
                <c:formatCode>0.00%</c:formatCode>
                <c:ptCount val="2"/>
                <c:pt idx="0" formatCode="0.0%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1A5-4926-842B-FCF87BD09961}"/>
            </c:ext>
          </c:extLst>
        </c:ser>
        <c:ser>
          <c:idx val="13"/>
          <c:order val="13"/>
          <c:tx>
            <c:strRef>
              <c:f>'OPTIONAL FULL MODEL APPENDIX'!$AR$31</c:f>
              <c:strCache>
                <c:ptCount val="1"/>
                <c:pt idx="0">
                  <c:v>base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A5-4926-842B-FCF87BD09961}"/>
                </c:ext>
              </c:extLst>
            </c:dLbl>
            <c:dLbl>
              <c:idx val="1"/>
              <c:layout>
                <c:manualLayout>
                  <c:x val="-4.7397766048227243E-2"/>
                  <c:y val="2.771280946425177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A5-4926-842B-FCF87BD09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APPENDIX'!$AR$33:$AR$34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APPENDIX'!$AS$33:$AS$34</c:f>
              <c:numCache>
                <c:formatCode>0.00%</c:formatCode>
                <c:ptCount val="2"/>
                <c:pt idx="0" formatCode="0.0%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91A5-4926-842B-FCF87BD09961}"/>
            </c:ext>
          </c:extLst>
        </c:ser>
        <c:ser>
          <c:idx val="14"/>
          <c:order val="14"/>
          <c:tx>
            <c:strRef>
              <c:f>'OPTIONAL FULL MODEL APPENDIX'!$AR$40</c:f>
              <c:strCache>
                <c:ptCount val="1"/>
                <c:pt idx="0">
                  <c:v>(i)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A5-4926-842B-FCF87BD09961}"/>
                </c:ext>
              </c:extLst>
            </c:dLbl>
            <c:dLbl>
              <c:idx val="1"/>
              <c:layout>
                <c:manualLayout>
                  <c:x val="-3.0669142737088272E-2"/>
                  <c:y val="-2.771280946425177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A5-4926-842B-FCF87BD09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APPENDIX'!$AR$42:$AR$43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APPENDIX'!$AS$42:$AS$43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91A5-4926-842B-FCF87BD09961}"/>
            </c:ext>
          </c:extLst>
        </c:ser>
        <c:ser>
          <c:idx val="15"/>
          <c:order val="15"/>
          <c:tx>
            <c:strRef>
              <c:f>'OPTIONAL FULL MODEL APPENDIX'!$AR$49</c:f>
              <c:strCache>
                <c:ptCount val="1"/>
                <c:pt idx="0">
                  <c:v>(ii)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A5-4926-842B-FCF87BD09961}"/>
                </c:ext>
              </c:extLst>
            </c:dLbl>
            <c:dLbl>
              <c:idx val="1"/>
              <c:layout>
                <c:manualLayout>
                  <c:x val="-5.0335249316733638E-2"/>
                  <c:y val="1.726034788435023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A5-4926-842B-FCF87BD09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'OPTIONAL FULL MODEL APPENDIX'!$AR$51:$AR$52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'OPTIONAL FULL MODEL APPENDIX'!$AS$51:$AS$52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91A5-4926-842B-FCF87BD09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745728"/>
        <c:axId val="706746120"/>
      </c:scatterChart>
      <c:valAx>
        <c:axId val="706745728"/>
        <c:scaling>
          <c:orientation val="minMax"/>
          <c:max val="5.0000000000000024E-2"/>
          <c:min val="-5.0000000000000024E-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Output gap (in percent)</a:t>
                </a:r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46120"/>
        <c:crossesAt val="-6.0000000000000032E-2"/>
        <c:crossBetween val="midCat"/>
      </c:valAx>
      <c:valAx>
        <c:axId val="706746120"/>
        <c:scaling>
          <c:orientation val="minMax"/>
          <c:max val="0.1"/>
          <c:min val="-2.0000000000000011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Real interest rate (in percent)</a:t>
                </a:r>
              </a:p>
            </c:rich>
          </c:tx>
          <c:overlay val="0"/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745728"/>
        <c:crossesAt val="-6.0000000000000032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12.emf"/><Relationship Id="rId4" Type="http://schemas.openxmlformats.org/officeDocument/2006/relationships/hyperlink" Target="http://www.evanctanner.com/simple-models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emf"/><Relationship Id="rId13" Type="http://schemas.openxmlformats.org/officeDocument/2006/relationships/image" Target="../media/image71.emf"/><Relationship Id="rId18" Type="http://schemas.openxmlformats.org/officeDocument/2006/relationships/image" Target="../media/image76.emf"/><Relationship Id="rId26" Type="http://schemas.openxmlformats.org/officeDocument/2006/relationships/image" Target="../media/image84.emf"/><Relationship Id="rId39" Type="http://schemas.openxmlformats.org/officeDocument/2006/relationships/hyperlink" Target="http://www.evanctanner.com/simple-models" TargetMode="External"/><Relationship Id="rId3" Type="http://schemas.openxmlformats.org/officeDocument/2006/relationships/chart" Target="../charts/chart18.xml"/><Relationship Id="rId21" Type="http://schemas.openxmlformats.org/officeDocument/2006/relationships/image" Target="../media/image79.emf"/><Relationship Id="rId34" Type="http://schemas.openxmlformats.org/officeDocument/2006/relationships/image" Target="../media/image92.emf"/><Relationship Id="rId7" Type="http://schemas.openxmlformats.org/officeDocument/2006/relationships/image" Target="../media/image65.emf"/><Relationship Id="rId12" Type="http://schemas.openxmlformats.org/officeDocument/2006/relationships/image" Target="../media/image70.emf"/><Relationship Id="rId17" Type="http://schemas.openxmlformats.org/officeDocument/2006/relationships/image" Target="../media/image75.emf"/><Relationship Id="rId25" Type="http://schemas.openxmlformats.org/officeDocument/2006/relationships/image" Target="../media/image83.emf"/><Relationship Id="rId33" Type="http://schemas.openxmlformats.org/officeDocument/2006/relationships/image" Target="../media/image91.emf"/><Relationship Id="rId38" Type="http://schemas.openxmlformats.org/officeDocument/2006/relationships/image" Target="../media/image96.emf"/><Relationship Id="rId2" Type="http://schemas.openxmlformats.org/officeDocument/2006/relationships/chart" Target="../charts/chart17.xml"/><Relationship Id="rId16" Type="http://schemas.openxmlformats.org/officeDocument/2006/relationships/image" Target="../media/image74.emf"/><Relationship Id="rId20" Type="http://schemas.openxmlformats.org/officeDocument/2006/relationships/image" Target="../media/image78.emf"/><Relationship Id="rId29" Type="http://schemas.openxmlformats.org/officeDocument/2006/relationships/image" Target="../media/image87.emf"/><Relationship Id="rId1" Type="http://schemas.openxmlformats.org/officeDocument/2006/relationships/chart" Target="../charts/chart16.xml"/><Relationship Id="rId6" Type="http://schemas.openxmlformats.org/officeDocument/2006/relationships/image" Target="../media/image64.emf"/><Relationship Id="rId11" Type="http://schemas.openxmlformats.org/officeDocument/2006/relationships/image" Target="../media/image69.emf"/><Relationship Id="rId24" Type="http://schemas.openxmlformats.org/officeDocument/2006/relationships/image" Target="../media/image82.emf"/><Relationship Id="rId32" Type="http://schemas.openxmlformats.org/officeDocument/2006/relationships/image" Target="../media/image90.emf"/><Relationship Id="rId37" Type="http://schemas.openxmlformats.org/officeDocument/2006/relationships/image" Target="../media/image95.emf"/><Relationship Id="rId40" Type="http://schemas.openxmlformats.org/officeDocument/2006/relationships/image" Target="../media/image12.emf"/><Relationship Id="rId5" Type="http://schemas.openxmlformats.org/officeDocument/2006/relationships/image" Target="../media/image63.emf"/><Relationship Id="rId15" Type="http://schemas.openxmlformats.org/officeDocument/2006/relationships/image" Target="../media/image73.emf"/><Relationship Id="rId23" Type="http://schemas.openxmlformats.org/officeDocument/2006/relationships/image" Target="../media/image81.emf"/><Relationship Id="rId28" Type="http://schemas.openxmlformats.org/officeDocument/2006/relationships/image" Target="../media/image86.emf"/><Relationship Id="rId36" Type="http://schemas.openxmlformats.org/officeDocument/2006/relationships/image" Target="../media/image94.emf"/><Relationship Id="rId10" Type="http://schemas.openxmlformats.org/officeDocument/2006/relationships/image" Target="../media/image68.emf"/><Relationship Id="rId19" Type="http://schemas.openxmlformats.org/officeDocument/2006/relationships/image" Target="../media/image77.emf"/><Relationship Id="rId31" Type="http://schemas.openxmlformats.org/officeDocument/2006/relationships/image" Target="../media/image89.emf"/><Relationship Id="rId4" Type="http://schemas.openxmlformats.org/officeDocument/2006/relationships/image" Target="../media/image62.emf"/><Relationship Id="rId9" Type="http://schemas.openxmlformats.org/officeDocument/2006/relationships/image" Target="../media/image67.emf"/><Relationship Id="rId14" Type="http://schemas.openxmlformats.org/officeDocument/2006/relationships/image" Target="../media/image72.emf"/><Relationship Id="rId22" Type="http://schemas.openxmlformats.org/officeDocument/2006/relationships/image" Target="../media/image80.emf"/><Relationship Id="rId27" Type="http://schemas.openxmlformats.org/officeDocument/2006/relationships/image" Target="../media/image85.emf"/><Relationship Id="rId30" Type="http://schemas.openxmlformats.org/officeDocument/2006/relationships/image" Target="../media/image88.emf"/><Relationship Id="rId35" Type="http://schemas.openxmlformats.org/officeDocument/2006/relationships/image" Target="../media/image93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25.emf"/><Relationship Id="rId18" Type="http://schemas.openxmlformats.org/officeDocument/2006/relationships/image" Target="../media/image30.emf"/><Relationship Id="rId26" Type="http://schemas.openxmlformats.org/officeDocument/2006/relationships/image" Target="../media/image38.emf"/><Relationship Id="rId39" Type="http://schemas.openxmlformats.org/officeDocument/2006/relationships/image" Target="../media/image51.emf"/><Relationship Id="rId3" Type="http://schemas.openxmlformats.org/officeDocument/2006/relationships/image" Target="../media/image15.emf"/><Relationship Id="rId21" Type="http://schemas.openxmlformats.org/officeDocument/2006/relationships/image" Target="../media/image33.emf"/><Relationship Id="rId34" Type="http://schemas.openxmlformats.org/officeDocument/2006/relationships/image" Target="../media/image46.emf"/><Relationship Id="rId42" Type="http://schemas.openxmlformats.org/officeDocument/2006/relationships/image" Target="../media/image54.emf"/><Relationship Id="rId47" Type="http://schemas.openxmlformats.org/officeDocument/2006/relationships/image" Target="../media/image59.emf"/><Relationship Id="rId7" Type="http://schemas.openxmlformats.org/officeDocument/2006/relationships/image" Target="../media/image19.emf"/><Relationship Id="rId12" Type="http://schemas.openxmlformats.org/officeDocument/2006/relationships/image" Target="../media/image24.emf"/><Relationship Id="rId17" Type="http://schemas.openxmlformats.org/officeDocument/2006/relationships/image" Target="../media/image29.emf"/><Relationship Id="rId25" Type="http://schemas.openxmlformats.org/officeDocument/2006/relationships/image" Target="../media/image37.emf"/><Relationship Id="rId33" Type="http://schemas.openxmlformats.org/officeDocument/2006/relationships/image" Target="../media/image45.emf"/><Relationship Id="rId38" Type="http://schemas.openxmlformats.org/officeDocument/2006/relationships/image" Target="../media/image50.emf"/><Relationship Id="rId46" Type="http://schemas.openxmlformats.org/officeDocument/2006/relationships/image" Target="../media/image58.emf"/><Relationship Id="rId2" Type="http://schemas.openxmlformats.org/officeDocument/2006/relationships/image" Target="../media/image14.emf"/><Relationship Id="rId16" Type="http://schemas.openxmlformats.org/officeDocument/2006/relationships/image" Target="../media/image28.emf"/><Relationship Id="rId20" Type="http://schemas.openxmlformats.org/officeDocument/2006/relationships/image" Target="../media/image32.emf"/><Relationship Id="rId29" Type="http://schemas.openxmlformats.org/officeDocument/2006/relationships/image" Target="../media/image41.emf"/><Relationship Id="rId41" Type="http://schemas.openxmlformats.org/officeDocument/2006/relationships/image" Target="../media/image53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11" Type="http://schemas.openxmlformats.org/officeDocument/2006/relationships/image" Target="../media/image23.emf"/><Relationship Id="rId24" Type="http://schemas.openxmlformats.org/officeDocument/2006/relationships/image" Target="../media/image36.emf"/><Relationship Id="rId32" Type="http://schemas.openxmlformats.org/officeDocument/2006/relationships/image" Target="../media/image44.emf"/><Relationship Id="rId37" Type="http://schemas.openxmlformats.org/officeDocument/2006/relationships/image" Target="../media/image49.emf"/><Relationship Id="rId40" Type="http://schemas.openxmlformats.org/officeDocument/2006/relationships/image" Target="../media/image52.emf"/><Relationship Id="rId45" Type="http://schemas.openxmlformats.org/officeDocument/2006/relationships/image" Target="../media/image57.emf"/><Relationship Id="rId5" Type="http://schemas.openxmlformats.org/officeDocument/2006/relationships/image" Target="../media/image17.emf"/><Relationship Id="rId15" Type="http://schemas.openxmlformats.org/officeDocument/2006/relationships/image" Target="../media/image27.emf"/><Relationship Id="rId23" Type="http://schemas.openxmlformats.org/officeDocument/2006/relationships/image" Target="../media/image35.emf"/><Relationship Id="rId28" Type="http://schemas.openxmlformats.org/officeDocument/2006/relationships/image" Target="../media/image40.emf"/><Relationship Id="rId36" Type="http://schemas.openxmlformats.org/officeDocument/2006/relationships/image" Target="../media/image48.emf"/><Relationship Id="rId49" Type="http://schemas.openxmlformats.org/officeDocument/2006/relationships/image" Target="../media/image61.emf"/><Relationship Id="rId10" Type="http://schemas.openxmlformats.org/officeDocument/2006/relationships/image" Target="../media/image22.emf"/><Relationship Id="rId19" Type="http://schemas.openxmlformats.org/officeDocument/2006/relationships/image" Target="../media/image31.emf"/><Relationship Id="rId31" Type="http://schemas.openxmlformats.org/officeDocument/2006/relationships/image" Target="../media/image43.emf"/><Relationship Id="rId44" Type="http://schemas.openxmlformats.org/officeDocument/2006/relationships/image" Target="../media/image56.emf"/><Relationship Id="rId4" Type="http://schemas.openxmlformats.org/officeDocument/2006/relationships/image" Target="../media/image16.emf"/><Relationship Id="rId9" Type="http://schemas.openxmlformats.org/officeDocument/2006/relationships/image" Target="../media/image21.emf"/><Relationship Id="rId14" Type="http://schemas.openxmlformats.org/officeDocument/2006/relationships/image" Target="../media/image26.emf"/><Relationship Id="rId22" Type="http://schemas.openxmlformats.org/officeDocument/2006/relationships/image" Target="../media/image34.emf"/><Relationship Id="rId27" Type="http://schemas.openxmlformats.org/officeDocument/2006/relationships/image" Target="../media/image39.emf"/><Relationship Id="rId30" Type="http://schemas.openxmlformats.org/officeDocument/2006/relationships/image" Target="../media/image42.emf"/><Relationship Id="rId35" Type="http://schemas.openxmlformats.org/officeDocument/2006/relationships/image" Target="../media/image47.emf"/><Relationship Id="rId43" Type="http://schemas.openxmlformats.org/officeDocument/2006/relationships/image" Target="../media/image55.emf"/><Relationship Id="rId48" Type="http://schemas.openxmlformats.org/officeDocument/2006/relationships/image" Target="../media/image60.emf"/><Relationship Id="rId8" Type="http://schemas.openxmlformats.org/officeDocument/2006/relationships/image" Target="../media/image20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99.emf"/><Relationship Id="rId2" Type="http://schemas.openxmlformats.org/officeDocument/2006/relationships/image" Target="../media/image98.emf"/><Relationship Id="rId1" Type="http://schemas.openxmlformats.org/officeDocument/2006/relationships/image" Target="../media/image97.emf"/><Relationship Id="rId5" Type="http://schemas.openxmlformats.org/officeDocument/2006/relationships/image" Target="../media/image101.emf"/><Relationship Id="rId4" Type="http://schemas.openxmlformats.org/officeDocument/2006/relationships/image" Target="../media/image100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3.emf"/><Relationship Id="rId1" Type="http://schemas.openxmlformats.org/officeDocument/2006/relationships/image" Target="../media/image10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9</xdr:col>
      <xdr:colOff>299719</xdr:colOff>
      <xdr:row>19</xdr:row>
      <xdr:rowOff>7157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8</xdr:col>
      <xdr:colOff>276981</xdr:colOff>
      <xdr:row>17</xdr:row>
      <xdr:rowOff>56673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22860</xdr:colOff>
      <xdr:row>17</xdr:row>
      <xdr:rowOff>175260</xdr:rowOff>
    </xdr:from>
    <xdr:to>
      <xdr:col>8</xdr:col>
      <xdr:colOff>330483</xdr:colOff>
      <xdr:row>33</xdr:row>
      <xdr:rowOff>55225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34</xdr:row>
      <xdr:rowOff>0</xdr:rowOff>
    </xdr:from>
    <xdr:to>
      <xdr:col>8</xdr:col>
      <xdr:colOff>312420</xdr:colOff>
      <xdr:row>49</xdr:row>
      <xdr:rowOff>164093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4</xdr:row>
          <xdr:rowOff>152400</xdr:rowOff>
        </xdr:from>
        <xdr:to>
          <xdr:col>6</xdr:col>
          <xdr:colOff>590550</xdr:colOff>
          <xdr:row>6</xdr:row>
          <xdr:rowOff>161925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3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10</xdr:row>
          <xdr:rowOff>19050</xdr:rowOff>
        </xdr:from>
        <xdr:to>
          <xdr:col>7</xdr:col>
          <xdr:colOff>28575</xdr:colOff>
          <xdr:row>12</xdr:row>
          <xdr:rowOff>114300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3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13</xdr:row>
          <xdr:rowOff>47625</xdr:rowOff>
        </xdr:from>
        <xdr:to>
          <xdr:col>4</xdr:col>
          <xdr:colOff>276225</xdr:colOff>
          <xdr:row>15</xdr:row>
          <xdr:rowOff>123825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3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7</xdr:col>
          <xdr:colOff>66675</xdr:colOff>
          <xdr:row>18</xdr:row>
          <xdr:rowOff>171450</xdr:rowOff>
        </xdr:to>
        <xdr:sp macro="" textlink="">
          <xdr:nvSpPr>
            <xdr:cNvPr id="8198" name="Object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3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20</xdr:row>
          <xdr:rowOff>19050</xdr:rowOff>
        </xdr:from>
        <xdr:to>
          <xdr:col>4</xdr:col>
          <xdr:colOff>561975</xdr:colOff>
          <xdr:row>22</xdr:row>
          <xdr:rowOff>123825</xdr:rowOff>
        </xdr:to>
        <xdr:sp macro="" textlink="">
          <xdr:nvSpPr>
            <xdr:cNvPr id="8199" name="Object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3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24</xdr:row>
          <xdr:rowOff>9525</xdr:rowOff>
        </xdr:from>
        <xdr:to>
          <xdr:col>4</xdr:col>
          <xdr:colOff>200025</xdr:colOff>
          <xdr:row>26</xdr:row>
          <xdr:rowOff>28575</xdr:rowOff>
        </xdr:to>
        <xdr:sp macro="" textlink="">
          <xdr:nvSpPr>
            <xdr:cNvPr id="8200" name="Object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3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</xdr:row>
          <xdr:rowOff>104775</xdr:rowOff>
        </xdr:from>
        <xdr:to>
          <xdr:col>7</xdr:col>
          <xdr:colOff>161925</xdr:colOff>
          <xdr:row>9</xdr:row>
          <xdr:rowOff>19050</xdr:rowOff>
        </xdr:to>
        <xdr:sp macro="" textlink="">
          <xdr:nvSpPr>
            <xdr:cNvPr id="8201" name="Object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3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2</xdr:row>
          <xdr:rowOff>28575</xdr:rowOff>
        </xdr:from>
        <xdr:to>
          <xdr:col>23</xdr:col>
          <xdr:colOff>390525</xdr:colOff>
          <xdr:row>3</xdr:row>
          <xdr:rowOff>171450</xdr:rowOff>
        </xdr:to>
        <xdr:sp macro="" textlink="">
          <xdr:nvSpPr>
            <xdr:cNvPr id="8204" name="Object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3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57150</xdr:colOff>
          <xdr:row>2</xdr:row>
          <xdr:rowOff>0</xdr:rowOff>
        </xdr:from>
        <xdr:to>
          <xdr:col>28</xdr:col>
          <xdr:colOff>200025</xdr:colOff>
          <xdr:row>4</xdr:row>
          <xdr:rowOff>57150</xdr:rowOff>
        </xdr:to>
        <xdr:sp macro="" textlink="">
          <xdr:nvSpPr>
            <xdr:cNvPr id="8205" name="Object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3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9</xdr:col>
      <xdr:colOff>525992</xdr:colOff>
      <xdr:row>2</xdr:row>
      <xdr:rowOff>183619</xdr:rowOff>
    </xdr:from>
    <xdr:to>
      <xdr:col>18</xdr:col>
      <xdr:colOff>535517</xdr:colOff>
      <xdr:row>25</xdr:row>
      <xdr:rowOff>12699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447675</xdr:colOff>
          <xdr:row>29</xdr:row>
          <xdr:rowOff>28575</xdr:rowOff>
        </xdr:from>
        <xdr:to>
          <xdr:col>9</xdr:col>
          <xdr:colOff>381000</xdr:colOff>
          <xdr:row>32</xdr:row>
          <xdr:rowOff>104775</xdr:rowOff>
        </xdr:to>
        <xdr:sp macro="" textlink="">
          <xdr:nvSpPr>
            <xdr:cNvPr id="8206" name="Object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3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33</xdr:row>
          <xdr:rowOff>104775</xdr:rowOff>
        </xdr:from>
        <xdr:to>
          <xdr:col>9</xdr:col>
          <xdr:colOff>381000</xdr:colOff>
          <xdr:row>36</xdr:row>
          <xdr:rowOff>152400</xdr:rowOff>
        </xdr:to>
        <xdr:sp macro="" textlink="">
          <xdr:nvSpPr>
            <xdr:cNvPr id="8207" name="Object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3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612321</xdr:colOff>
      <xdr:row>3</xdr:row>
      <xdr:rowOff>0</xdr:rowOff>
    </xdr:from>
    <xdr:to>
      <xdr:col>10</xdr:col>
      <xdr:colOff>276981</xdr:colOff>
      <xdr:row>18</xdr:row>
      <xdr:rowOff>56673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22860</xdr:colOff>
      <xdr:row>18</xdr:row>
      <xdr:rowOff>175260</xdr:rowOff>
    </xdr:from>
    <xdr:to>
      <xdr:col>10</xdr:col>
      <xdr:colOff>330483</xdr:colOff>
      <xdr:row>34</xdr:row>
      <xdr:rowOff>55225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</xdr:colOff>
      <xdr:row>35</xdr:row>
      <xdr:rowOff>0</xdr:rowOff>
    </xdr:from>
    <xdr:to>
      <xdr:col>10</xdr:col>
      <xdr:colOff>312420</xdr:colOff>
      <xdr:row>50</xdr:row>
      <xdr:rowOff>164093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612321</xdr:colOff>
      <xdr:row>2</xdr:row>
      <xdr:rowOff>0</xdr:rowOff>
    </xdr:from>
    <xdr:to>
      <xdr:col>8</xdr:col>
      <xdr:colOff>276981</xdr:colOff>
      <xdr:row>17</xdr:row>
      <xdr:rowOff>56673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607967</xdr:colOff>
      <xdr:row>17</xdr:row>
      <xdr:rowOff>188867</xdr:rowOff>
    </xdr:from>
    <xdr:to>
      <xdr:col>8</xdr:col>
      <xdr:colOff>285750</xdr:colOff>
      <xdr:row>33</xdr:row>
      <xdr:rowOff>68832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34</xdr:row>
      <xdr:rowOff>0</xdr:rowOff>
    </xdr:from>
    <xdr:to>
      <xdr:col>8</xdr:col>
      <xdr:colOff>312420</xdr:colOff>
      <xdr:row>49</xdr:row>
      <xdr:rowOff>164093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2971800</xdr:colOff>
      <xdr:row>24</xdr:row>
      <xdr:rowOff>0</xdr:rowOff>
    </xdr:from>
    <xdr:to>
      <xdr:col>12</xdr:col>
      <xdr:colOff>414111</xdr:colOff>
      <xdr:row>25</xdr:row>
      <xdr:rowOff>0</xdr:rowOff>
    </xdr:to>
    <xdr:sp macro="" textlink="">
      <xdr:nvSpPr>
        <xdr:cNvPr id="5" name="Object 64" hidden="1">
          <a:extLst>
            <a:ext uri="{63B3BB69-23CF-44E3-9099-C40C66FF867C}">
              <a14:compatExt xmlns:a14="http://schemas.microsoft.com/office/drawing/2010/main" spid="_x0000_s1088"/>
            </a:ex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 bwMode="auto">
        <a:xfrm>
          <a:off x="12839700" y="3028950"/>
          <a:ext cx="41275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11</xdr:col>
      <xdr:colOff>2997200</xdr:colOff>
      <xdr:row>29</xdr:row>
      <xdr:rowOff>63500</xdr:rowOff>
    </xdr:from>
    <xdr:to>
      <xdr:col>12</xdr:col>
      <xdr:colOff>293461</xdr:colOff>
      <xdr:row>30</xdr:row>
      <xdr:rowOff>44450</xdr:rowOff>
    </xdr:to>
    <xdr:sp macro="" textlink="">
      <xdr:nvSpPr>
        <xdr:cNvPr id="6" name="Object 65" hidden="1">
          <a:extLst>
            <a:ext uri="{63B3BB69-23CF-44E3-9099-C40C66FF867C}">
              <a14:compatExt xmlns:a14="http://schemas.microsoft.com/office/drawing/2010/main" spid="_x0000_s1089"/>
            </a:ex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 bwMode="auto">
        <a:xfrm>
          <a:off x="12836525" y="3282950"/>
          <a:ext cx="29527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12</xdr:col>
      <xdr:colOff>139700</xdr:colOff>
      <xdr:row>9</xdr:row>
      <xdr:rowOff>25400</xdr:rowOff>
    </xdr:from>
    <xdr:to>
      <xdr:col>12</xdr:col>
      <xdr:colOff>292100</xdr:colOff>
      <xdr:row>9</xdr:row>
      <xdr:rowOff>158750</xdr:rowOff>
    </xdr:to>
    <xdr:sp macro="" textlink="">
      <xdr:nvSpPr>
        <xdr:cNvPr id="9" name="Object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 bwMode="auto">
        <a:xfrm>
          <a:off x="12979400" y="644525"/>
          <a:ext cx="15240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12</xdr:col>
      <xdr:colOff>146050</xdr:colOff>
      <xdr:row>10</xdr:row>
      <xdr:rowOff>25400</xdr:rowOff>
    </xdr:from>
    <xdr:to>
      <xdr:col>12</xdr:col>
      <xdr:colOff>273050</xdr:colOff>
      <xdr:row>11</xdr:row>
      <xdr:rowOff>0</xdr:rowOff>
    </xdr:to>
    <xdr:sp macro="" textlink="">
      <xdr:nvSpPr>
        <xdr:cNvPr id="10" name="Object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 bwMode="auto">
        <a:xfrm>
          <a:off x="12985750" y="873125"/>
          <a:ext cx="127000" cy="165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12</xdr:col>
      <xdr:colOff>139700</xdr:colOff>
      <xdr:row>14</xdr:row>
      <xdr:rowOff>31750</xdr:rowOff>
    </xdr:from>
    <xdr:to>
      <xdr:col>12</xdr:col>
      <xdr:colOff>292100</xdr:colOff>
      <xdr:row>15</xdr:row>
      <xdr:rowOff>481</xdr:rowOff>
    </xdr:to>
    <xdr:sp macro="" textlink="">
      <xdr:nvSpPr>
        <xdr:cNvPr id="11" name="Object 32" hidden="1">
          <a:extLst>
            <a:ext uri="{63B3BB69-23CF-44E3-9099-C40C66FF867C}">
              <a14:compatExt xmlns:a14="http://schemas.microsoft.com/office/drawing/2010/main" spid="_x0000_s1056"/>
            </a:ex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 bwMode="auto">
        <a:xfrm>
          <a:off x="12979400" y="1450975"/>
          <a:ext cx="152400" cy="158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12</xdr:col>
      <xdr:colOff>31750</xdr:colOff>
      <xdr:row>15</xdr:row>
      <xdr:rowOff>25400</xdr:rowOff>
    </xdr:from>
    <xdr:to>
      <xdr:col>12</xdr:col>
      <xdr:colOff>412750</xdr:colOff>
      <xdr:row>15</xdr:row>
      <xdr:rowOff>177800</xdr:rowOff>
    </xdr:to>
    <xdr:sp macro="" textlink="">
      <xdr:nvSpPr>
        <xdr:cNvPr id="12" name="Object 33" hidden="1">
          <a:extLst>
            <a:ext uri="{63B3BB69-23CF-44E3-9099-C40C66FF867C}">
              <a14:compatExt xmlns:a14="http://schemas.microsoft.com/office/drawing/2010/main" spid="_x0000_s1057"/>
            </a:ex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>
          <a:off x="12871450" y="1682750"/>
          <a:ext cx="38100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12</xdr:col>
      <xdr:colOff>139700</xdr:colOff>
      <xdr:row>18</xdr:row>
      <xdr:rowOff>25400</xdr:rowOff>
    </xdr:from>
    <xdr:to>
      <xdr:col>12</xdr:col>
      <xdr:colOff>330200</xdr:colOff>
      <xdr:row>18</xdr:row>
      <xdr:rowOff>177800</xdr:rowOff>
    </xdr:to>
    <xdr:sp macro="" textlink="">
      <xdr:nvSpPr>
        <xdr:cNvPr id="13" name="Object 36" hidden="1">
          <a:extLst>
            <a:ext uri="{63B3BB69-23CF-44E3-9099-C40C66FF867C}">
              <a14:compatExt xmlns:a14="http://schemas.microsoft.com/office/drawing/2010/main" spid="_x0000_s1060"/>
            </a:ex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 bwMode="auto">
        <a:xfrm>
          <a:off x="12979400" y="2292350"/>
          <a:ext cx="19050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11</xdr:col>
      <xdr:colOff>2971800</xdr:colOff>
      <xdr:row>22</xdr:row>
      <xdr:rowOff>0</xdr:rowOff>
    </xdr:from>
    <xdr:to>
      <xdr:col>12</xdr:col>
      <xdr:colOff>414111</xdr:colOff>
      <xdr:row>23</xdr:row>
      <xdr:rowOff>0</xdr:rowOff>
    </xdr:to>
    <xdr:sp macro="" textlink="">
      <xdr:nvSpPr>
        <xdr:cNvPr id="14" name="Object 64" hidden="1">
          <a:extLst>
            <a:ext uri="{63B3BB69-23CF-44E3-9099-C40C66FF867C}">
              <a14:compatExt xmlns:a14="http://schemas.microsoft.com/office/drawing/2010/main" spid="_x0000_s1088"/>
            </a:ex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 bwMode="auto">
        <a:xfrm>
          <a:off x="12839700" y="3028950"/>
          <a:ext cx="41275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11</xdr:col>
      <xdr:colOff>2997200</xdr:colOff>
      <xdr:row>23</xdr:row>
      <xdr:rowOff>63500</xdr:rowOff>
    </xdr:from>
    <xdr:to>
      <xdr:col>12</xdr:col>
      <xdr:colOff>293461</xdr:colOff>
      <xdr:row>24</xdr:row>
      <xdr:rowOff>44450</xdr:rowOff>
    </xdr:to>
    <xdr:sp macro="" textlink="">
      <xdr:nvSpPr>
        <xdr:cNvPr id="15" name="Object 65" hidden="1">
          <a:extLst>
            <a:ext uri="{63B3BB69-23CF-44E3-9099-C40C66FF867C}">
              <a14:compatExt xmlns:a14="http://schemas.microsoft.com/office/drawing/2010/main" spid="_x0000_s1089"/>
            </a:ex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 bwMode="auto">
        <a:xfrm>
          <a:off x="12836525" y="3282950"/>
          <a:ext cx="29527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353786</xdr:colOff>
      <xdr:row>14</xdr:row>
      <xdr:rowOff>176893</xdr:rowOff>
    </xdr:from>
    <xdr:to>
      <xdr:col>23</xdr:col>
      <xdr:colOff>551090</xdr:colOff>
      <xdr:row>22</xdr:row>
      <xdr:rowOff>108858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3348607" y="2843893"/>
          <a:ext cx="2646590" cy="148317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/>
            <a:t>ENTER POLICIES OR SHOCKS</a:t>
          </a:r>
          <a:r>
            <a:rPr lang="en-US" sz="2800" baseline="0"/>
            <a:t> IN GREEN BOXES</a:t>
          </a:r>
          <a:endParaRPr lang="en-US" sz="2800"/>
        </a:p>
      </xdr:txBody>
    </xdr:sp>
    <xdr:clientData/>
  </xdr:twoCellAnchor>
  <xdr:twoCellAnchor>
    <xdr:from>
      <xdr:col>18</xdr:col>
      <xdr:colOff>435429</xdr:colOff>
      <xdr:row>5</xdr:row>
      <xdr:rowOff>47624</xdr:rowOff>
    </xdr:from>
    <xdr:to>
      <xdr:col>19</xdr:col>
      <xdr:colOff>102054</xdr:colOff>
      <xdr:row>29</xdr:row>
      <xdr:rowOff>102053</xdr:rowOff>
    </xdr:to>
    <xdr:sp macro="" textlink="">
      <xdr:nvSpPr>
        <xdr:cNvPr id="19" name="Right Brac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12817929" y="1000124"/>
          <a:ext cx="278946" cy="4653643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535274</xdr:colOff>
      <xdr:row>139</xdr:row>
      <xdr:rowOff>14323</xdr:rowOff>
    </xdr:from>
    <xdr:to>
      <xdr:col>20</xdr:col>
      <xdr:colOff>585932</xdr:colOff>
      <xdr:row>143</xdr:row>
      <xdr:rowOff>147205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3648024" y="25827073"/>
          <a:ext cx="2188491" cy="89488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This is</a:t>
          </a:r>
          <a:r>
            <a:rPr lang="en-US" sz="1100" baseline="0"/>
            <a:t> the "double whammy" of TOT drop and endogenous rise in adverse efp -- impact on GDP in probability terms. </a:t>
          </a:r>
          <a:endParaRPr lang="en-US" sz="1100"/>
        </a:p>
      </xdr:txBody>
    </xdr:sp>
    <xdr:clientData/>
  </xdr:twoCellAnchor>
  <xdr:twoCellAnchor>
    <xdr:from>
      <xdr:col>18</xdr:col>
      <xdr:colOff>447675</xdr:colOff>
      <xdr:row>149</xdr:row>
      <xdr:rowOff>161925</xdr:rowOff>
    </xdr:from>
    <xdr:to>
      <xdr:col>19</xdr:col>
      <xdr:colOff>885825</xdr:colOff>
      <xdr:row>153</xdr:row>
      <xdr:rowOff>114300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 rot="10800000">
          <a:off x="13506450" y="27870150"/>
          <a:ext cx="1047750" cy="7143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371475</xdr:colOff>
      <xdr:row>154</xdr:row>
      <xdr:rowOff>95250</xdr:rowOff>
    </xdr:from>
    <xdr:to>
      <xdr:col>19</xdr:col>
      <xdr:colOff>1352550</xdr:colOff>
      <xdr:row>157</xdr:row>
      <xdr:rowOff>47625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3430250" y="28755975"/>
          <a:ext cx="1590675" cy="523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This approach could be promising. </a:t>
          </a:r>
        </a:p>
      </xdr:txBody>
    </xdr:sp>
    <xdr:clientData/>
  </xdr:twoCellAnchor>
  <xdr:twoCellAnchor>
    <xdr:from>
      <xdr:col>9</xdr:col>
      <xdr:colOff>510887</xdr:colOff>
      <xdr:row>147</xdr:row>
      <xdr:rowOff>0</xdr:rowOff>
    </xdr:from>
    <xdr:to>
      <xdr:col>24</xdr:col>
      <xdr:colOff>164523</xdr:colOff>
      <xdr:row>160</xdr:row>
      <xdr:rowOff>34636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5966114" y="27302114"/>
          <a:ext cx="11767704" cy="251113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536865</xdr:colOff>
      <xdr:row>24</xdr:row>
      <xdr:rowOff>77932</xdr:rowOff>
    </xdr:from>
    <xdr:to>
      <xdr:col>18</xdr:col>
      <xdr:colOff>103910</xdr:colOff>
      <xdr:row>27</xdr:row>
      <xdr:rowOff>86591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>
        <a:xfrm>
          <a:off x="5992092" y="4675909"/>
          <a:ext cx="7126432" cy="6061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277812</xdr:colOff>
      <xdr:row>51</xdr:row>
      <xdr:rowOff>0</xdr:rowOff>
    </xdr:from>
    <xdr:to>
      <xdr:col>8</xdr:col>
      <xdr:colOff>531883</xdr:colOff>
      <xdr:row>59</xdr:row>
      <xdr:rowOff>103657</xdr:rowOff>
    </xdr:to>
    <xdr:pic>
      <xdr:nvPicPr>
        <xdr:cNvPr id="21" name="Picture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7812" y="9779000"/>
          <a:ext cx="5143571" cy="16276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0</xdr:row>
      <xdr:rowOff>142875</xdr:rowOff>
    </xdr:from>
    <xdr:to>
      <xdr:col>15</xdr:col>
      <xdr:colOff>292893</xdr:colOff>
      <xdr:row>15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76199</xdr:colOff>
      <xdr:row>16</xdr:row>
      <xdr:rowOff>57150</xdr:rowOff>
    </xdr:from>
    <xdr:to>
      <xdr:col>15</xdr:col>
      <xdr:colOff>266700</xdr:colOff>
      <xdr:row>30</xdr:row>
      <xdr:rowOff>140677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438150</xdr:colOff>
      <xdr:row>16</xdr:row>
      <xdr:rowOff>47625</xdr:rowOff>
    </xdr:from>
    <xdr:to>
      <xdr:col>23</xdr:col>
      <xdr:colOff>523875</xdr:colOff>
      <xdr:row>30</xdr:row>
      <xdr:rowOff>123825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400050</xdr:colOff>
      <xdr:row>0</xdr:row>
      <xdr:rowOff>123825</xdr:rowOff>
    </xdr:from>
    <xdr:to>
      <xdr:col>23</xdr:col>
      <xdr:colOff>514350</xdr:colOff>
      <xdr:row>15</xdr:row>
      <xdr:rowOff>47625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2163911</xdr:colOff>
      <xdr:row>66</xdr:row>
      <xdr:rowOff>113669</xdr:rowOff>
    </xdr:from>
    <xdr:to>
      <xdr:col>22</xdr:col>
      <xdr:colOff>25260</xdr:colOff>
      <xdr:row>68</xdr:row>
      <xdr:rowOff>84199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CxnSpPr/>
      </xdr:nvCxnSpPr>
      <xdr:spPr>
        <a:xfrm flipV="1">
          <a:off x="12612994" y="6655923"/>
          <a:ext cx="660962" cy="33258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592910</xdr:colOff>
      <xdr:row>2</xdr:row>
      <xdr:rowOff>12781</xdr:rowOff>
    </xdr:from>
    <xdr:to>
      <xdr:col>37</xdr:col>
      <xdr:colOff>435042</xdr:colOff>
      <xdr:row>16</xdr:row>
      <xdr:rowOff>124511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13189</xdr:colOff>
      <xdr:row>17</xdr:row>
      <xdr:rowOff>130908</xdr:rowOff>
    </xdr:from>
    <xdr:to>
      <xdr:col>37</xdr:col>
      <xdr:colOff>439081</xdr:colOff>
      <xdr:row>31</xdr:row>
      <xdr:rowOff>51542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604134</xdr:colOff>
      <xdr:row>32</xdr:row>
      <xdr:rowOff>47869</xdr:rowOff>
    </xdr:from>
    <xdr:to>
      <xdr:col>37</xdr:col>
      <xdr:colOff>392723</xdr:colOff>
      <xdr:row>47</xdr:row>
      <xdr:rowOff>119433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25400</xdr:colOff>
      <xdr:row>7</xdr:row>
      <xdr:rowOff>25400</xdr:rowOff>
    </xdr:from>
    <xdr:to>
      <xdr:col>5</xdr:col>
      <xdr:colOff>381000</xdr:colOff>
      <xdr:row>7</xdr:row>
      <xdr:rowOff>152400</xdr:rowOff>
    </xdr:to>
    <xdr:sp macro="" textlink="">
      <xdr:nvSpPr>
        <xdr:cNvPr id="1026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700-000002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6350</xdr:colOff>
      <xdr:row>4</xdr:row>
      <xdr:rowOff>25400</xdr:rowOff>
    </xdr:from>
    <xdr:to>
      <xdr:col>9</xdr:col>
      <xdr:colOff>232569</xdr:colOff>
      <xdr:row>6</xdr:row>
      <xdr:rowOff>6350</xdr:rowOff>
    </xdr:to>
    <xdr:sp macro="" textlink="">
      <xdr:nvSpPr>
        <xdr:cNvPr id="1028" name="Object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700-000004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146050</xdr:colOff>
      <xdr:row>7</xdr:row>
      <xdr:rowOff>25400</xdr:rowOff>
    </xdr:from>
    <xdr:to>
      <xdr:col>8</xdr:col>
      <xdr:colOff>3781</xdr:colOff>
      <xdr:row>8</xdr:row>
      <xdr:rowOff>14628</xdr:rowOff>
    </xdr:to>
    <xdr:sp macro="" textlink="">
      <xdr:nvSpPr>
        <xdr:cNvPr id="1029" name="Object 5" hidden="1">
          <a:extLst>
            <a:ext uri="{63B3BB69-23CF-44E3-9099-C40C66FF867C}">
              <a14:compatExt xmlns:a14="http://schemas.microsoft.com/office/drawing/2010/main" spid="_x0000_s1029"/>
            </a:ext>
            <a:ext uri="{FF2B5EF4-FFF2-40B4-BE49-F238E27FC236}">
              <a16:creationId xmlns:a16="http://schemas.microsoft.com/office/drawing/2014/main" id="{00000000-0008-0000-0700-000005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9</xdr:col>
      <xdr:colOff>368300</xdr:colOff>
      <xdr:row>7</xdr:row>
      <xdr:rowOff>31750</xdr:rowOff>
    </xdr:from>
    <xdr:to>
      <xdr:col>11</xdr:col>
      <xdr:colOff>1376</xdr:colOff>
      <xdr:row>8</xdr:row>
      <xdr:rowOff>14628</xdr:rowOff>
    </xdr:to>
    <xdr:sp macro="" textlink="">
      <xdr:nvSpPr>
        <xdr:cNvPr id="1030" name="Object 6" hidden="1">
          <a:extLst>
            <a:ext uri="{63B3BB69-23CF-44E3-9099-C40C66FF867C}">
              <a14:compatExt xmlns:a14="http://schemas.microsoft.com/office/drawing/2010/main" spid="_x0000_s1030"/>
            </a:ext>
            <a:ext uri="{FF2B5EF4-FFF2-40B4-BE49-F238E27FC236}">
              <a16:creationId xmlns:a16="http://schemas.microsoft.com/office/drawing/2014/main" id="{00000000-0008-0000-0700-000006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349250</xdr:colOff>
      <xdr:row>12</xdr:row>
      <xdr:rowOff>158750</xdr:rowOff>
    </xdr:from>
    <xdr:to>
      <xdr:col>6</xdr:col>
      <xdr:colOff>565150</xdr:colOff>
      <xdr:row>14</xdr:row>
      <xdr:rowOff>31750</xdr:rowOff>
    </xdr:to>
    <xdr:sp macro="" textlink="">
      <xdr:nvSpPr>
        <xdr:cNvPr id="1033" name="Object 9" hidden="1">
          <a:extLst>
            <a:ext uri="{63B3BB69-23CF-44E3-9099-C40C66FF867C}">
              <a14:compatExt xmlns:a14="http://schemas.microsoft.com/office/drawing/2010/main" spid="_x0000_s1033"/>
            </a:ext>
            <a:ext uri="{FF2B5EF4-FFF2-40B4-BE49-F238E27FC236}">
              <a16:creationId xmlns:a16="http://schemas.microsoft.com/office/drawing/2014/main" id="{00000000-0008-0000-0700-000009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44450</xdr:colOff>
      <xdr:row>16</xdr:row>
      <xdr:rowOff>38100</xdr:rowOff>
    </xdr:from>
    <xdr:to>
      <xdr:col>5</xdr:col>
      <xdr:colOff>527050</xdr:colOff>
      <xdr:row>17</xdr:row>
      <xdr:rowOff>120650</xdr:rowOff>
    </xdr:to>
    <xdr:sp macro="" textlink="">
      <xdr:nvSpPr>
        <xdr:cNvPr id="1034" name="Object 10" hidden="1">
          <a:extLst>
            <a:ext uri="{63B3BB69-23CF-44E3-9099-C40C66FF867C}">
              <a14:compatExt xmlns:a14="http://schemas.microsoft.com/office/drawing/2010/main" spid="_x0000_s1034"/>
            </a:ext>
            <a:ext uri="{FF2B5EF4-FFF2-40B4-BE49-F238E27FC236}">
              <a16:creationId xmlns:a16="http://schemas.microsoft.com/office/drawing/2014/main" id="{00000000-0008-0000-0700-00000A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330200</xdr:colOff>
      <xdr:row>18</xdr:row>
      <xdr:rowOff>25400</xdr:rowOff>
    </xdr:from>
    <xdr:to>
      <xdr:col>4</xdr:col>
      <xdr:colOff>482600</xdr:colOff>
      <xdr:row>18</xdr:row>
      <xdr:rowOff>177800</xdr:rowOff>
    </xdr:to>
    <xdr:sp macro="" textlink="">
      <xdr:nvSpPr>
        <xdr:cNvPr id="1035" name="Object 11" hidden="1">
          <a:extLst>
            <a:ext uri="{63B3BB69-23CF-44E3-9099-C40C66FF867C}">
              <a14:compatExt xmlns:a14="http://schemas.microsoft.com/office/drawing/2010/main" spid="_x0000_s1035"/>
            </a:ext>
            <a:ext uri="{FF2B5EF4-FFF2-40B4-BE49-F238E27FC236}">
              <a16:creationId xmlns:a16="http://schemas.microsoft.com/office/drawing/2014/main" id="{00000000-0008-0000-0700-00000B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38100</xdr:colOff>
      <xdr:row>42</xdr:row>
      <xdr:rowOff>158750</xdr:rowOff>
    </xdr:from>
    <xdr:to>
      <xdr:col>6</xdr:col>
      <xdr:colOff>86519</xdr:colOff>
      <xdr:row>44</xdr:row>
      <xdr:rowOff>6350</xdr:rowOff>
    </xdr:to>
    <xdr:sp macro="" textlink="">
      <xdr:nvSpPr>
        <xdr:cNvPr id="1037" name="Object 13" hidden="1">
          <a:extLst>
            <a:ext uri="{63B3BB69-23CF-44E3-9099-C40C66FF867C}">
              <a14:compatExt xmlns:a14="http://schemas.microsoft.com/office/drawing/2010/main" spid="_x0000_s1037"/>
            </a:ext>
            <a:ext uri="{FF2B5EF4-FFF2-40B4-BE49-F238E27FC236}">
              <a16:creationId xmlns:a16="http://schemas.microsoft.com/office/drawing/2014/main" id="{00000000-0008-0000-0700-00000D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254000</xdr:colOff>
      <xdr:row>19</xdr:row>
      <xdr:rowOff>31750</xdr:rowOff>
    </xdr:from>
    <xdr:to>
      <xdr:col>0</xdr:col>
      <xdr:colOff>374650</xdr:colOff>
      <xdr:row>20</xdr:row>
      <xdr:rowOff>6350</xdr:rowOff>
    </xdr:to>
    <xdr:sp macro="" textlink="">
      <xdr:nvSpPr>
        <xdr:cNvPr id="1039" name="Object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00000000-0008-0000-0700-00000F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234950</xdr:colOff>
      <xdr:row>18</xdr:row>
      <xdr:rowOff>6350</xdr:rowOff>
    </xdr:from>
    <xdr:to>
      <xdr:col>0</xdr:col>
      <xdr:colOff>406400</xdr:colOff>
      <xdr:row>19</xdr:row>
      <xdr:rowOff>0</xdr:rowOff>
    </xdr:to>
    <xdr:sp macro="" textlink="">
      <xdr:nvSpPr>
        <xdr:cNvPr id="1042" name="Object 18" hidden="1">
          <a:extLst>
            <a:ext uri="{63B3BB69-23CF-44E3-9099-C40C66FF867C}">
              <a14:compatExt xmlns:a14="http://schemas.microsoft.com/office/drawing/2010/main" spid="_x0000_s1042"/>
            </a:ext>
            <a:ext uri="{FF2B5EF4-FFF2-40B4-BE49-F238E27FC236}">
              <a16:creationId xmlns:a16="http://schemas.microsoft.com/office/drawing/2014/main" id="{00000000-0008-0000-0700-000012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266700</xdr:colOff>
      <xdr:row>57</xdr:row>
      <xdr:rowOff>25400</xdr:rowOff>
    </xdr:from>
    <xdr:to>
      <xdr:col>4</xdr:col>
      <xdr:colOff>381000</xdr:colOff>
      <xdr:row>57</xdr:row>
      <xdr:rowOff>177800</xdr:rowOff>
    </xdr:to>
    <xdr:sp macro="" textlink="">
      <xdr:nvSpPr>
        <xdr:cNvPr id="1045" name="Object 21" hidden="1">
          <a:extLst>
            <a:ext uri="{63B3BB69-23CF-44E3-9099-C40C66FF867C}">
              <a14:compatExt xmlns:a14="http://schemas.microsoft.com/office/drawing/2010/main" spid="_x0000_s1045"/>
            </a:ext>
            <a:ext uri="{FF2B5EF4-FFF2-40B4-BE49-F238E27FC236}">
              <a16:creationId xmlns:a16="http://schemas.microsoft.com/office/drawing/2014/main" id="{00000000-0008-0000-0700-000015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44450</xdr:colOff>
      <xdr:row>63</xdr:row>
      <xdr:rowOff>6350</xdr:rowOff>
    </xdr:from>
    <xdr:to>
      <xdr:col>4</xdr:col>
      <xdr:colOff>457200</xdr:colOff>
      <xdr:row>63</xdr:row>
      <xdr:rowOff>177800</xdr:rowOff>
    </xdr:to>
    <xdr:sp macro="" textlink="">
      <xdr:nvSpPr>
        <xdr:cNvPr id="1047" name="Object 23" hidden="1">
          <a:extLst>
            <a:ext uri="{63B3BB69-23CF-44E3-9099-C40C66FF867C}">
              <a14:compatExt xmlns:a14="http://schemas.microsoft.com/office/drawing/2010/main" spid="_x0000_s1047"/>
            </a:ext>
            <a:ext uri="{FF2B5EF4-FFF2-40B4-BE49-F238E27FC236}">
              <a16:creationId xmlns:a16="http://schemas.microsoft.com/office/drawing/2014/main" id="{00000000-0008-0000-0700-000017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266700</xdr:colOff>
      <xdr:row>51</xdr:row>
      <xdr:rowOff>25400</xdr:rowOff>
    </xdr:from>
    <xdr:to>
      <xdr:col>4</xdr:col>
      <xdr:colOff>406400</xdr:colOff>
      <xdr:row>51</xdr:row>
      <xdr:rowOff>177800</xdr:rowOff>
    </xdr:to>
    <xdr:sp macro="" textlink="">
      <xdr:nvSpPr>
        <xdr:cNvPr id="1049" name="Object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0000000-0008-0000-0700-000019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234950</xdr:colOff>
      <xdr:row>51</xdr:row>
      <xdr:rowOff>25400</xdr:rowOff>
    </xdr:from>
    <xdr:to>
      <xdr:col>6</xdr:col>
      <xdr:colOff>444500</xdr:colOff>
      <xdr:row>52</xdr:row>
      <xdr:rowOff>25400</xdr:rowOff>
    </xdr:to>
    <xdr:sp macro="" textlink="">
      <xdr:nvSpPr>
        <xdr:cNvPr id="1050" name="Object 26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700-00001A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298450</xdr:colOff>
      <xdr:row>62</xdr:row>
      <xdr:rowOff>177800</xdr:rowOff>
    </xdr:from>
    <xdr:to>
      <xdr:col>8</xdr:col>
      <xdr:colOff>3780</xdr:colOff>
      <xdr:row>64</xdr:row>
      <xdr:rowOff>120650</xdr:rowOff>
    </xdr:to>
    <xdr:sp macro="" textlink="">
      <xdr:nvSpPr>
        <xdr:cNvPr id="1052" name="Object 28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700-00001C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9</xdr:col>
      <xdr:colOff>76200</xdr:colOff>
      <xdr:row>62</xdr:row>
      <xdr:rowOff>152400</xdr:rowOff>
    </xdr:from>
    <xdr:to>
      <xdr:col>10</xdr:col>
      <xdr:colOff>774</xdr:colOff>
      <xdr:row>64</xdr:row>
      <xdr:rowOff>82550</xdr:rowOff>
    </xdr:to>
    <xdr:sp macro="" textlink="">
      <xdr:nvSpPr>
        <xdr:cNvPr id="1053" name="Object 29" hidden="1">
          <a:extLst>
            <a:ext uri="{63B3BB69-23CF-44E3-9099-C40C66FF867C}">
              <a14:compatExt xmlns:a14="http://schemas.microsoft.com/office/drawing/2010/main" spid="_x0000_s1053"/>
            </a:ext>
            <a:ext uri="{FF2B5EF4-FFF2-40B4-BE49-F238E27FC236}">
              <a16:creationId xmlns:a16="http://schemas.microsoft.com/office/drawing/2014/main" id="{00000000-0008-0000-0700-00001D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21</xdr:col>
      <xdr:colOff>139700</xdr:colOff>
      <xdr:row>11</xdr:row>
      <xdr:rowOff>25400</xdr:rowOff>
    </xdr:from>
    <xdr:to>
      <xdr:col>21</xdr:col>
      <xdr:colOff>292100</xdr:colOff>
      <xdr:row>11</xdr:row>
      <xdr:rowOff>158750</xdr:rowOff>
    </xdr:to>
    <xdr:sp macro="" textlink="">
      <xdr:nvSpPr>
        <xdr:cNvPr id="1054" name="Object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00000000-0008-0000-0700-00001E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21</xdr:col>
      <xdr:colOff>146050</xdr:colOff>
      <xdr:row>12</xdr:row>
      <xdr:rowOff>25400</xdr:rowOff>
    </xdr:from>
    <xdr:to>
      <xdr:col>21</xdr:col>
      <xdr:colOff>273050</xdr:colOff>
      <xdr:row>13</xdr:row>
      <xdr:rowOff>0</xdr:rowOff>
    </xdr:to>
    <xdr:sp macro="" textlink="">
      <xdr:nvSpPr>
        <xdr:cNvPr id="1055" name="Object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00000000-0008-0000-0700-00001F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21</xdr:col>
      <xdr:colOff>139700</xdr:colOff>
      <xdr:row>11</xdr:row>
      <xdr:rowOff>31750</xdr:rowOff>
    </xdr:from>
    <xdr:to>
      <xdr:col>21</xdr:col>
      <xdr:colOff>292100</xdr:colOff>
      <xdr:row>11</xdr:row>
      <xdr:rowOff>190500</xdr:rowOff>
    </xdr:to>
    <xdr:sp macro="" textlink="">
      <xdr:nvSpPr>
        <xdr:cNvPr id="1056" name="Object 32" hidden="1">
          <a:extLst>
            <a:ext uri="{63B3BB69-23CF-44E3-9099-C40C66FF867C}">
              <a14:compatExt xmlns:a14="http://schemas.microsoft.com/office/drawing/2010/main" spid="_x0000_s1056"/>
            </a:ext>
            <a:ext uri="{FF2B5EF4-FFF2-40B4-BE49-F238E27FC236}">
              <a16:creationId xmlns:a16="http://schemas.microsoft.com/office/drawing/2014/main" id="{00000000-0008-0000-0700-000020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21</xdr:col>
      <xdr:colOff>31750</xdr:colOff>
      <xdr:row>12</xdr:row>
      <xdr:rowOff>25400</xdr:rowOff>
    </xdr:from>
    <xdr:to>
      <xdr:col>21</xdr:col>
      <xdr:colOff>412750</xdr:colOff>
      <xdr:row>12</xdr:row>
      <xdr:rowOff>177800</xdr:rowOff>
    </xdr:to>
    <xdr:sp macro="" textlink="">
      <xdr:nvSpPr>
        <xdr:cNvPr id="1057" name="Object 33" hidden="1">
          <a:extLst>
            <a:ext uri="{63B3BB69-23CF-44E3-9099-C40C66FF867C}">
              <a14:compatExt xmlns:a14="http://schemas.microsoft.com/office/drawing/2010/main" spid="_x0000_s1057"/>
            </a:ext>
            <a:ext uri="{FF2B5EF4-FFF2-40B4-BE49-F238E27FC236}">
              <a16:creationId xmlns:a16="http://schemas.microsoft.com/office/drawing/2014/main" id="{00000000-0008-0000-0700-000021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21</xdr:col>
      <xdr:colOff>139700</xdr:colOff>
      <xdr:row>15</xdr:row>
      <xdr:rowOff>25400</xdr:rowOff>
    </xdr:from>
    <xdr:to>
      <xdr:col>21</xdr:col>
      <xdr:colOff>330200</xdr:colOff>
      <xdr:row>15</xdr:row>
      <xdr:rowOff>177800</xdr:rowOff>
    </xdr:to>
    <xdr:sp macro="" textlink="">
      <xdr:nvSpPr>
        <xdr:cNvPr id="1060" name="Object 36" hidden="1">
          <a:extLst>
            <a:ext uri="{63B3BB69-23CF-44E3-9099-C40C66FF867C}">
              <a14:compatExt xmlns:a14="http://schemas.microsoft.com/office/drawing/2010/main" spid="_x0000_s1060"/>
            </a:ext>
            <a:ext uri="{FF2B5EF4-FFF2-40B4-BE49-F238E27FC236}">
              <a16:creationId xmlns:a16="http://schemas.microsoft.com/office/drawing/2014/main" id="{00000000-0008-0000-0700-000024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692150</xdr:colOff>
      <xdr:row>21</xdr:row>
      <xdr:rowOff>158750</xdr:rowOff>
    </xdr:from>
    <xdr:to>
      <xdr:col>8</xdr:col>
      <xdr:colOff>548462</xdr:colOff>
      <xdr:row>23</xdr:row>
      <xdr:rowOff>183029</xdr:rowOff>
    </xdr:to>
    <xdr:sp macro="" textlink="">
      <xdr:nvSpPr>
        <xdr:cNvPr id="1073" name="Object 49" hidden="1">
          <a:extLst>
            <a:ext uri="{63B3BB69-23CF-44E3-9099-C40C66FF867C}">
              <a14:compatExt xmlns:a14="http://schemas.microsoft.com/office/drawing/2010/main" spid="_x0000_s1073"/>
            </a:ext>
            <a:ext uri="{FF2B5EF4-FFF2-40B4-BE49-F238E27FC236}">
              <a16:creationId xmlns:a16="http://schemas.microsoft.com/office/drawing/2014/main" id="{00000000-0008-0000-0700-000031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711200</xdr:colOff>
      <xdr:row>40</xdr:row>
      <xdr:rowOff>82550</xdr:rowOff>
    </xdr:from>
    <xdr:to>
      <xdr:col>1</xdr:col>
      <xdr:colOff>1860550</xdr:colOff>
      <xdr:row>42</xdr:row>
      <xdr:rowOff>76200</xdr:rowOff>
    </xdr:to>
    <xdr:sp macro="" textlink="">
      <xdr:nvSpPr>
        <xdr:cNvPr id="1080" name="Object 56" hidden="1">
          <a:extLst>
            <a:ext uri="{63B3BB69-23CF-44E3-9099-C40C66FF867C}">
              <a14:compatExt xmlns:a14="http://schemas.microsoft.com/office/drawing/2010/main" spid="_x0000_s1080"/>
            </a:ext>
            <a:ext uri="{FF2B5EF4-FFF2-40B4-BE49-F238E27FC236}">
              <a16:creationId xmlns:a16="http://schemas.microsoft.com/office/drawing/2014/main" id="{00000000-0008-0000-0700-000038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654050</xdr:colOff>
      <xdr:row>43</xdr:row>
      <xdr:rowOff>101600</xdr:rowOff>
    </xdr:from>
    <xdr:to>
      <xdr:col>3</xdr:col>
      <xdr:colOff>25400</xdr:colOff>
      <xdr:row>46</xdr:row>
      <xdr:rowOff>6350</xdr:rowOff>
    </xdr:to>
    <xdr:sp macro="" textlink="">
      <xdr:nvSpPr>
        <xdr:cNvPr id="1081" name="Object 57" hidden="1">
          <a:extLst>
            <a:ext uri="{63B3BB69-23CF-44E3-9099-C40C66FF867C}">
              <a14:compatExt xmlns:a14="http://schemas.microsoft.com/office/drawing/2010/main" spid="_x0000_s1081"/>
            </a:ext>
            <a:ext uri="{FF2B5EF4-FFF2-40B4-BE49-F238E27FC236}">
              <a16:creationId xmlns:a16="http://schemas.microsoft.com/office/drawing/2014/main" id="{00000000-0008-0000-0700-000039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692150</xdr:colOff>
      <xdr:row>27</xdr:row>
      <xdr:rowOff>63500</xdr:rowOff>
    </xdr:from>
    <xdr:to>
      <xdr:col>2</xdr:col>
      <xdr:colOff>292100</xdr:colOff>
      <xdr:row>28</xdr:row>
      <xdr:rowOff>120650</xdr:rowOff>
    </xdr:to>
    <xdr:sp macro="" textlink="">
      <xdr:nvSpPr>
        <xdr:cNvPr id="1082" name="Object 58" hidden="1">
          <a:extLst>
            <a:ext uri="{63B3BB69-23CF-44E3-9099-C40C66FF867C}">
              <a14:compatExt xmlns:a14="http://schemas.microsoft.com/office/drawing/2010/main" spid="_x0000_s1082"/>
            </a:ext>
            <a:ext uri="{FF2B5EF4-FFF2-40B4-BE49-F238E27FC236}">
              <a16:creationId xmlns:a16="http://schemas.microsoft.com/office/drawing/2014/main" id="{00000000-0008-0000-0700-00003A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463550</xdr:colOff>
      <xdr:row>25</xdr:row>
      <xdr:rowOff>0</xdr:rowOff>
    </xdr:from>
    <xdr:to>
      <xdr:col>5</xdr:col>
      <xdr:colOff>508</xdr:colOff>
      <xdr:row>26</xdr:row>
      <xdr:rowOff>25400</xdr:rowOff>
    </xdr:to>
    <xdr:sp macro="" textlink="">
      <xdr:nvSpPr>
        <xdr:cNvPr id="1083" name="Object 59" hidden="1">
          <a:extLst>
            <a:ext uri="{63B3BB69-23CF-44E3-9099-C40C66FF867C}">
              <a14:compatExt xmlns:a14="http://schemas.microsoft.com/office/drawing/2010/main" spid="_x0000_s1083"/>
            </a:ext>
            <a:ext uri="{FF2B5EF4-FFF2-40B4-BE49-F238E27FC236}">
              <a16:creationId xmlns:a16="http://schemas.microsoft.com/office/drawing/2014/main" id="{00000000-0008-0000-0700-00003B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381000</xdr:colOff>
      <xdr:row>25</xdr:row>
      <xdr:rowOff>31750</xdr:rowOff>
    </xdr:from>
    <xdr:to>
      <xdr:col>7</xdr:col>
      <xdr:colOff>533400</xdr:colOff>
      <xdr:row>26</xdr:row>
      <xdr:rowOff>0</xdr:rowOff>
    </xdr:to>
    <xdr:sp macro="" textlink="">
      <xdr:nvSpPr>
        <xdr:cNvPr id="1084" name="Object 60" hidden="1">
          <a:extLst>
            <a:ext uri="{63B3BB69-23CF-44E3-9099-C40C66FF867C}">
              <a14:compatExt xmlns:a14="http://schemas.microsoft.com/office/drawing/2010/main" spid="_x0000_s1084"/>
            </a:ext>
            <a:ext uri="{FF2B5EF4-FFF2-40B4-BE49-F238E27FC236}">
              <a16:creationId xmlns:a16="http://schemas.microsoft.com/office/drawing/2014/main" id="{00000000-0008-0000-0700-00003C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254000</xdr:colOff>
      <xdr:row>30</xdr:row>
      <xdr:rowOff>177800</xdr:rowOff>
    </xdr:from>
    <xdr:to>
      <xdr:col>5</xdr:col>
      <xdr:colOff>508</xdr:colOff>
      <xdr:row>32</xdr:row>
      <xdr:rowOff>25400</xdr:rowOff>
    </xdr:to>
    <xdr:sp macro="" textlink="">
      <xdr:nvSpPr>
        <xdr:cNvPr id="1085" name="Object 61" hidden="1">
          <a:extLst>
            <a:ext uri="{63B3BB69-23CF-44E3-9099-C40C66FF867C}">
              <a14:compatExt xmlns:a14="http://schemas.microsoft.com/office/drawing/2010/main" spid="_x0000_s1085"/>
            </a:ext>
            <a:ext uri="{FF2B5EF4-FFF2-40B4-BE49-F238E27FC236}">
              <a16:creationId xmlns:a16="http://schemas.microsoft.com/office/drawing/2014/main" id="{00000000-0008-0000-0700-00003D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6350</xdr:colOff>
      <xdr:row>28</xdr:row>
      <xdr:rowOff>63500</xdr:rowOff>
    </xdr:from>
    <xdr:to>
      <xdr:col>9</xdr:col>
      <xdr:colOff>548462</xdr:colOff>
      <xdr:row>30</xdr:row>
      <xdr:rowOff>101600</xdr:rowOff>
    </xdr:to>
    <xdr:sp macro="" textlink="">
      <xdr:nvSpPr>
        <xdr:cNvPr id="1086" name="Object 62" hidden="1">
          <a:extLst>
            <a:ext uri="{63B3BB69-23CF-44E3-9099-C40C66FF867C}">
              <a14:compatExt xmlns:a14="http://schemas.microsoft.com/office/drawing/2010/main" spid="_x0000_s1086"/>
            </a:ext>
            <a:ext uri="{FF2B5EF4-FFF2-40B4-BE49-F238E27FC236}">
              <a16:creationId xmlns:a16="http://schemas.microsoft.com/office/drawing/2014/main" id="{00000000-0008-0000-0700-00003E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196850</xdr:colOff>
      <xdr:row>31</xdr:row>
      <xdr:rowOff>0</xdr:rowOff>
    </xdr:from>
    <xdr:to>
      <xdr:col>7</xdr:col>
      <xdr:colOff>457200</xdr:colOff>
      <xdr:row>32</xdr:row>
      <xdr:rowOff>63500</xdr:rowOff>
    </xdr:to>
    <xdr:sp macro="" textlink="">
      <xdr:nvSpPr>
        <xdr:cNvPr id="1087" name="Object 63" hidden="1">
          <a:extLst>
            <a:ext uri="{63B3BB69-23CF-44E3-9099-C40C66FF867C}">
              <a14:compatExt xmlns:a14="http://schemas.microsoft.com/office/drawing/2010/main" spid="_x0000_s1087"/>
            </a:ext>
            <a:ext uri="{FF2B5EF4-FFF2-40B4-BE49-F238E27FC236}">
              <a16:creationId xmlns:a16="http://schemas.microsoft.com/office/drawing/2014/main" id="{00000000-0008-0000-0700-00003F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20</xdr:col>
      <xdr:colOff>2971800</xdr:colOff>
      <xdr:row>19</xdr:row>
      <xdr:rowOff>0</xdr:rowOff>
    </xdr:from>
    <xdr:to>
      <xdr:col>21</xdr:col>
      <xdr:colOff>412751</xdr:colOff>
      <xdr:row>20</xdr:row>
      <xdr:rowOff>785</xdr:rowOff>
    </xdr:to>
    <xdr:sp macro="" textlink="">
      <xdr:nvSpPr>
        <xdr:cNvPr id="1088" name="Object 64" hidden="1">
          <a:extLst>
            <a:ext uri="{63B3BB69-23CF-44E3-9099-C40C66FF867C}">
              <a14:compatExt xmlns:a14="http://schemas.microsoft.com/office/drawing/2010/main" spid="_x0000_s1088"/>
            </a:ext>
            <a:ext uri="{FF2B5EF4-FFF2-40B4-BE49-F238E27FC236}">
              <a16:creationId xmlns:a16="http://schemas.microsoft.com/office/drawing/2014/main" id="{00000000-0008-0000-0700-000040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20</xdr:col>
      <xdr:colOff>2997200</xdr:colOff>
      <xdr:row>20</xdr:row>
      <xdr:rowOff>63500</xdr:rowOff>
    </xdr:from>
    <xdr:to>
      <xdr:col>21</xdr:col>
      <xdr:colOff>292101</xdr:colOff>
      <xdr:row>21</xdr:row>
      <xdr:rowOff>44450</xdr:rowOff>
    </xdr:to>
    <xdr:sp macro="" textlink="">
      <xdr:nvSpPr>
        <xdr:cNvPr id="1089" name="Object 65" hidden="1">
          <a:extLst>
            <a:ext uri="{63B3BB69-23CF-44E3-9099-C40C66FF867C}">
              <a14:compatExt xmlns:a14="http://schemas.microsoft.com/office/drawing/2010/main" spid="_x0000_s1089"/>
            </a:ext>
            <a:ext uri="{FF2B5EF4-FFF2-40B4-BE49-F238E27FC236}">
              <a16:creationId xmlns:a16="http://schemas.microsoft.com/office/drawing/2014/main" id="{00000000-0008-0000-0700-000041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101600</xdr:colOff>
      <xdr:row>86</xdr:row>
      <xdr:rowOff>82550</xdr:rowOff>
    </xdr:from>
    <xdr:to>
      <xdr:col>11</xdr:col>
      <xdr:colOff>194468</xdr:colOff>
      <xdr:row>90</xdr:row>
      <xdr:rowOff>69850</xdr:rowOff>
    </xdr:to>
    <xdr:sp macro="" textlink="">
      <xdr:nvSpPr>
        <xdr:cNvPr id="1096" name="Object 72" hidden="1">
          <a:extLst>
            <a:ext uri="{63B3BB69-23CF-44E3-9099-C40C66FF867C}">
              <a14:compatExt xmlns:a14="http://schemas.microsoft.com/office/drawing/2010/main" spid="_x0000_s1096"/>
            </a:ext>
            <a:ext uri="{FF2B5EF4-FFF2-40B4-BE49-F238E27FC236}">
              <a16:creationId xmlns:a16="http://schemas.microsoft.com/office/drawing/2014/main" id="{00000000-0008-0000-0700-000048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82550</xdr:colOff>
      <xdr:row>93</xdr:row>
      <xdr:rowOff>76200</xdr:rowOff>
    </xdr:from>
    <xdr:to>
      <xdr:col>8</xdr:col>
      <xdr:colOff>308769</xdr:colOff>
      <xdr:row>96</xdr:row>
      <xdr:rowOff>790</xdr:rowOff>
    </xdr:to>
    <xdr:sp macro="" textlink="">
      <xdr:nvSpPr>
        <xdr:cNvPr id="1097" name="Object 73" hidden="1">
          <a:extLst>
            <a:ext uri="{63B3BB69-23CF-44E3-9099-C40C66FF867C}">
              <a14:compatExt xmlns:a14="http://schemas.microsoft.com/office/drawing/2010/main" spid="_x0000_s1097"/>
            </a:ext>
            <a:ext uri="{FF2B5EF4-FFF2-40B4-BE49-F238E27FC236}">
              <a16:creationId xmlns:a16="http://schemas.microsoft.com/office/drawing/2014/main" id="{00000000-0008-0000-0700-000049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31750</xdr:colOff>
      <xdr:row>60</xdr:row>
      <xdr:rowOff>25400</xdr:rowOff>
    </xdr:from>
    <xdr:to>
      <xdr:col>10</xdr:col>
      <xdr:colOff>397669</xdr:colOff>
      <xdr:row>61</xdr:row>
      <xdr:rowOff>120650</xdr:rowOff>
    </xdr:to>
    <xdr:sp macro="" textlink="">
      <xdr:nvSpPr>
        <xdr:cNvPr id="1098" name="Object 74" hidden="1">
          <a:extLst>
            <a:ext uri="{63B3BB69-23CF-44E3-9099-C40C66FF867C}">
              <a14:compatExt xmlns:a14="http://schemas.microsoft.com/office/drawing/2010/main" spid="_x0000_s1098"/>
            </a:ext>
            <a:ext uri="{FF2B5EF4-FFF2-40B4-BE49-F238E27FC236}">
              <a16:creationId xmlns:a16="http://schemas.microsoft.com/office/drawing/2014/main" id="{00000000-0008-0000-0700-00004A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107950</xdr:colOff>
      <xdr:row>54</xdr:row>
      <xdr:rowOff>69850</xdr:rowOff>
    </xdr:from>
    <xdr:to>
      <xdr:col>7</xdr:col>
      <xdr:colOff>42068</xdr:colOff>
      <xdr:row>56</xdr:row>
      <xdr:rowOff>63500</xdr:rowOff>
    </xdr:to>
    <xdr:sp macro="" textlink="">
      <xdr:nvSpPr>
        <xdr:cNvPr id="1099" name="Object 75" hidden="1">
          <a:extLst>
            <a:ext uri="{63B3BB69-23CF-44E3-9099-C40C66FF867C}">
              <a14:compatExt xmlns:a14="http://schemas.microsoft.com/office/drawing/2010/main" spid="_x0000_s1099"/>
            </a:ext>
            <a:ext uri="{FF2B5EF4-FFF2-40B4-BE49-F238E27FC236}">
              <a16:creationId xmlns:a16="http://schemas.microsoft.com/office/drawing/2014/main" id="{00000000-0008-0000-0700-00004B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139700</xdr:colOff>
      <xdr:row>48</xdr:row>
      <xdr:rowOff>101600</xdr:rowOff>
    </xdr:from>
    <xdr:to>
      <xdr:col>9</xdr:col>
      <xdr:colOff>194469</xdr:colOff>
      <xdr:row>50</xdr:row>
      <xdr:rowOff>6350</xdr:rowOff>
    </xdr:to>
    <xdr:sp macro="" textlink="">
      <xdr:nvSpPr>
        <xdr:cNvPr id="1100" name="Object 76" hidden="1">
          <a:extLst>
            <a:ext uri="{63B3BB69-23CF-44E3-9099-C40C66FF867C}">
              <a14:compatExt xmlns:a14="http://schemas.microsoft.com/office/drawing/2010/main" spid="_x0000_s1100"/>
            </a:ext>
            <a:ext uri="{FF2B5EF4-FFF2-40B4-BE49-F238E27FC236}">
              <a16:creationId xmlns:a16="http://schemas.microsoft.com/office/drawing/2014/main" id="{00000000-0008-0000-0700-00004C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20</xdr:col>
      <xdr:colOff>31750</xdr:colOff>
      <xdr:row>36</xdr:row>
      <xdr:rowOff>120650</xdr:rowOff>
    </xdr:from>
    <xdr:to>
      <xdr:col>21</xdr:col>
      <xdr:colOff>177801</xdr:colOff>
      <xdr:row>38</xdr:row>
      <xdr:rowOff>139700</xdr:rowOff>
    </xdr:to>
    <xdr:sp macro="" textlink="">
      <xdr:nvSpPr>
        <xdr:cNvPr id="1103" name="Object 79" hidden="1">
          <a:extLst>
            <a:ext uri="{63B3BB69-23CF-44E3-9099-C40C66FF867C}">
              <a14:compatExt xmlns:a14="http://schemas.microsoft.com/office/drawing/2010/main" spid="_x0000_s1103"/>
            </a:ext>
            <a:ext uri="{FF2B5EF4-FFF2-40B4-BE49-F238E27FC236}">
              <a16:creationId xmlns:a16="http://schemas.microsoft.com/office/drawing/2014/main" id="{00000000-0008-0000-0700-00004F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20</xdr:col>
      <xdr:colOff>76200</xdr:colOff>
      <xdr:row>42</xdr:row>
      <xdr:rowOff>25400</xdr:rowOff>
    </xdr:from>
    <xdr:to>
      <xdr:col>20</xdr:col>
      <xdr:colOff>2133600</xdr:colOff>
      <xdr:row>43</xdr:row>
      <xdr:rowOff>180181</xdr:rowOff>
    </xdr:to>
    <xdr:sp macro="" textlink="">
      <xdr:nvSpPr>
        <xdr:cNvPr id="1104" name="Object 80" hidden="1">
          <a:extLst>
            <a:ext uri="{63B3BB69-23CF-44E3-9099-C40C66FF867C}">
              <a14:compatExt xmlns:a14="http://schemas.microsoft.com/office/drawing/2010/main" spid="_x0000_s1104"/>
            </a:ext>
            <a:ext uri="{FF2B5EF4-FFF2-40B4-BE49-F238E27FC236}">
              <a16:creationId xmlns:a16="http://schemas.microsoft.com/office/drawing/2014/main" id="{00000000-0008-0000-0700-000050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20</xdr:col>
      <xdr:colOff>44450</xdr:colOff>
      <xdr:row>47</xdr:row>
      <xdr:rowOff>25400</xdr:rowOff>
    </xdr:from>
    <xdr:to>
      <xdr:col>20</xdr:col>
      <xdr:colOff>1860550</xdr:colOff>
      <xdr:row>50</xdr:row>
      <xdr:rowOff>42984</xdr:rowOff>
    </xdr:to>
    <xdr:sp macro="" textlink="">
      <xdr:nvSpPr>
        <xdr:cNvPr id="1105" name="Object 81" hidden="1">
          <a:extLst>
            <a:ext uri="{63B3BB69-23CF-44E3-9099-C40C66FF867C}">
              <a14:compatExt xmlns:a14="http://schemas.microsoft.com/office/drawing/2010/main" spid="_x0000_s1105"/>
            </a:ext>
            <a:ext uri="{FF2B5EF4-FFF2-40B4-BE49-F238E27FC236}">
              <a16:creationId xmlns:a16="http://schemas.microsoft.com/office/drawing/2014/main" id="{00000000-0008-0000-0700-000051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20</xdr:col>
      <xdr:colOff>25400</xdr:colOff>
      <xdr:row>52</xdr:row>
      <xdr:rowOff>82550</xdr:rowOff>
    </xdr:from>
    <xdr:to>
      <xdr:col>21</xdr:col>
      <xdr:colOff>114301</xdr:colOff>
      <xdr:row>54</xdr:row>
      <xdr:rowOff>139700</xdr:rowOff>
    </xdr:to>
    <xdr:sp macro="" textlink="">
      <xdr:nvSpPr>
        <xdr:cNvPr id="1106" name="Object 82" hidden="1">
          <a:extLst>
            <a:ext uri="{63B3BB69-23CF-44E3-9099-C40C66FF867C}">
              <a14:compatExt xmlns:a14="http://schemas.microsoft.com/office/drawing/2010/main" spid="_x0000_s1106"/>
            </a:ext>
            <a:ext uri="{FF2B5EF4-FFF2-40B4-BE49-F238E27FC236}">
              <a16:creationId xmlns:a16="http://schemas.microsoft.com/office/drawing/2014/main" id="{00000000-0008-0000-0700-000052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19</xdr:col>
      <xdr:colOff>76200</xdr:colOff>
      <xdr:row>57</xdr:row>
      <xdr:rowOff>0</xdr:rowOff>
    </xdr:from>
    <xdr:to>
      <xdr:col>20</xdr:col>
      <xdr:colOff>1570566</xdr:colOff>
      <xdr:row>59</xdr:row>
      <xdr:rowOff>76200</xdr:rowOff>
    </xdr:to>
    <xdr:sp macro="" textlink="">
      <xdr:nvSpPr>
        <xdr:cNvPr id="1107" name="Object 83" hidden="1">
          <a:extLst>
            <a:ext uri="{63B3BB69-23CF-44E3-9099-C40C66FF867C}">
              <a14:compatExt xmlns:a14="http://schemas.microsoft.com/office/drawing/2010/main" spid="_x0000_s1107"/>
            </a:ext>
            <a:ext uri="{FF2B5EF4-FFF2-40B4-BE49-F238E27FC236}">
              <a16:creationId xmlns:a16="http://schemas.microsoft.com/office/drawing/2014/main" id="{00000000-0008-0000-0700-000053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19</xdr:col>
      <xdr:colOff>101600</xdr:colOff>
      <xdr:row>62</xdr:row>
      <xdr:rowOff>69850</xdr:rowOff>
    </xdr:from>
    <xdr:to>
      <xdr:col>20</xdr:col>
      <xdr:colOff>1418166</xdr:colOff>
      <xdr:row>65</xdr:row>
      <xdr:rowOff>76200</xdr:rowOff>
    </xdr:to>
    <xdr:sp macro="" textlink="">
      <xdr:nvSpPr>
        <xdr:cNvPr id="1108" name="Object 84" hidden="1">
          <a:extLst>
            <a:ext uri="{63B3BB69-23CF-44E3-9099-C40C66FF867C}">
              <a14:compatExt xmlns:a14="http://schemas.microsoft.com/office/drawing/2010/main" spid="_x0000_s1108"/>
            </a:ext>
            <a:ext uri="{FF2B5EF4-FFF2-40B4-BE49-F238E27FC236}">
              <a16:creationId xmlns:a16="http://schemas.microsoft.com/office/drawing/2014/main" id="{00000000-0008-0000-0700-000054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19</xdr:col>
      <xdr:colOff>76200</xdr:colOff>
      <xdr:row>75</xdr:row>
      <xdr:rowOff>76200</xdr:rowOff>
    </xdr:from>
    <xdr:to>
      <xdr:col>20</xdr:col>
      <xdr:colOff>643466</xdr:colOff>
      <xdr:row>77</xdr:row>
      <xdr:rowOff>76200</xdr:rowOff>
    </xdr:to>
    <xdr:sp macro="" textlink="">
      <xdr:nvSpPr>
        <xdr:cNvPr id="1110" name="Object 86" hidden="1">
          <a:extLst>
            <a:ext uri="{63B3BB69-23CF-44E3-9099-C40C66FF867C}">
              <a14:compatExt xmlns:a14="http://schemas.microsoft.com/office/drawing/2010/main" spid="_x0000_s1110"/>
            </a:ext>
            <a:ext uri="{FF2B5EF4-FFF2-40B4-BE49-F238E27FC236}">
              <a16:creationId xmlns:a16="http://schemas.microsoft.com/office/drawing/2014/main" id="{00000000-0008-0000-0700-000056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20</xdr:col>
      <xdr:colOff>44450</xdr:colOff>
      <xdr:row>81</xdr:row>
      <xdr:rowOff>152400</xdr:rowOff>
    </xdr:from>
    <xdr:to>
      <xdr:col>23</xdr:col>
      <xdr:colOff>67897</xdr:colOff>
      <xdr:row>83</xdr:row>
      <xdr:rowOff>63500</xdr:rowOff>
    </xdr:to>
    <xdr:sp macro="" textlink="">
      <xdr:nvSpPr>
        <xdr:cNvPr id="1111" name="Object 87" hidden="1">
          <a:extLst>
            <a:ext uri="{63B3BB69-23CF-44E3-9099-C40C66FF867C}">
              <a14:compatExt xmlns:a14="http://schemas.microsoft.com/office/drawing/2010/main" spid="_x0000_s1111"/>
            </a:ext>
            <a:ext uri="{FF2B5EF4-FFF2-40B4-BE49-F238E27FC236}">
              <a16:creationId xmlns:a16="http://schemas.microsoft.com/office/drawing/2014/main" id="{00000000-0008-0000-0700-000057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44450</xdr:colOff>
      <xdr:row>44</xdr:row>
      <xdr:rowOff>177800</xdr:rowOff>
    </xdr:from>
    <xdr:to>
      <xdr:col>6</xdr:col>
      <xdr:colOff>61119</xdr:colOff>
      <xdr:row>46</xdr:row>
      <xdr:rowOff>31750</xdr:rowOff>
    </xdr:to>
    <xdr:sp macro="" textlink="">
      <xdr:nvSpPr>
        <xdr:cNvPr id="1113" name="Object 89" hidden="1">
          <a:extLst>
            <a:ext uri="{63B3BB69-23CF-44E3-9099-C40C66FF867C}">
              <a14:compatExt xmlns:a14="http://schemas.microsoft.com/office/drawing/2010/main" spid="_x0000_s1113"/>
            </a:ext>
            <a:ext uri="{FF2B5EF4-FFF2-40B4-BE49-F238E27FC236}">
              <a16:creationId xmlns:a16="http://schemas.microsoft.com/office/drawing/2014/main" id="{00000000-0008-0000-0700-000059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139700</xdr:colOff>
      <xdr:row>57</xdr:row>
      <xdr:rowOff>177800</xdr:rowOff>
    </xdr:to>
    <xdr:sp macro="" textlink="">
      <xdr:nvSpPr>
        <xdr:cNvPr id="1114" name="Object 90" hidden="1">
          <a:extLst>
            <a:ext uri="{63B3BB69-23CF-44E3-9099-C40C66FF867C}">
              <a14:compatExt xmlns:a14="http://schemas.microsoft.com/office/drawing/2010/main" spid="_x0000_s1114"/>
            </a:ext>
            <a:ext uri="{FF2B5EF4-FFF2-40B4-BE49-F238E27FC236}">
              <a16:creationId xmlns:a16="http://schemas.microsoft.com/office/drawing/2014/main" id="{00000000-0008-0000-0700-00005A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63500</xdr:colOff>
      <xdr:row>65</xdr:row>
      <xdr:rowOff>25400</xdr:rowOff>
    </xdr:from>
    <xdr:to>
      <xdr:col>5</xdr:col>
      <xdr:colOff>565150</xdr:colOff>
      <xdr:row>66</xdr:row>
      <xdr:rowOff>63500</xdr:rowOff>
    </xdr:to>
    <xdr:sp macro="" textlink="">
      <xdr:nvSpPr>
        <xdr:cNvPr id="1115" name="Object 91" hidden="1">
          <a:extLst>
            <a:ext uri="{63B3BB69-23CF-44E3-9099-C40C66FF867C}">
              <a14:compatExt xmlns:a14="http://schemas.microsoft.com/office/drawing/2010/main" spid="_x0000_s1115"/>
            </a:ext>
            <a:ext uri="{FF2B5EF4-FFF2-40B4-BE49-F238E27FC236}">
              <a16:creationId xmlns:a16="http://schemas.microsoft.com/office/drawing/2014/main" id="{00000000-0008-0000-0700-00005B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120650</xdr:colOff>
      <xdr:row>10</xdr:row>
      <xdr:rowOff>120650</xdr:rowOff>
    </xdr:from>
    <xdr:to>
      <xdr:col>6</xdr:col>
      <xdr:colOff>404019</xdr:colOff>
      <xdr:row>11</xdr:row>
      <xdr:rowOff>182501</xdr:rowOff>
    </xdr:to>
    <xdr:sp macro="" textlink="">
      <xdr:nvSpPr>
        <xdr:cNvPr id="1154" name="Object 130" hidden="1">
          <a:extLst>
            <a:ext uri="{63B3BB69-23CF-44E3-9099-C40C66FF867C}">
              <a14:compatExt xmlns:a14="http://schemas.microsoft.com/office/drawing/2010/main" spid="_x0000_s1154"/>
            </a:ext>
            <a:ext uri="{FF2B5EF4-FFF2-40B4-BE49-F238E27FC236}">
              <a16:creationId xmlns:a16="http://schemas.microsoft.com/office/drawing/2014/main" id="{00000000-0008-0000-0700-000082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13</xdr:row>
          <xdr:rowOff>19050</xdr:rowOff>
        </xdr:from>
        <xdr:to>
          <xdr:col>4</xdr:col>
          <xdr:colOff>466725</xdr:colOff>
          <xdr:row>13</xdr:row>
          <xdr:rowOff>161925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7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8</xdr:col>
      <xdr:colOff>425450</xdr:colOff>
      <xdr:row>42</xdr:row>
      <xdr:rowOff>228600</xdr:rowOff>
    </xdr:from>
    <xdr:to>
      <xdr:col>10</xdr:col>
      <xdr:colOff>774</xdr:colOff>
      <xdr:row>44</xdr:row>
      <xdr:rowOff>31750</xdr:rowOff>
    </xdr:to>
    <xdr:sp macro="" textlink="">
      <xdr:nvSpPr>
        <xdr:cNvPr id="1156" name="Object 132" hidden="1">
          <a:extLst>
            <a:ext uri="{63B3BB69-23CF-44E3-9099-C40C66FF867C}">
              <a14:compatExt xmlns:a14="http://schemas.microsoft.com/office/drawing/2010/main" spid="_x0000_s1156"/>
            </a:ext>
            <a:ext uri="{FF2B5EF4-FFF2-40B4-BE49-F238E27FC236}">
              <a16:creationId xmlns:a16="http://schemas.microsoft.com/office/drawing/2014/main" id="{00000000-0008-0000-0700-000084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63500</xdr:colOff>
      <xdr:row>36</xdr:row>
      <xdr:rowOff>63500</xdr:rowOff>
    </xdr:from>
    <xdr:to>
      <xdr:col>9</xdr:col>
      <xdr:colOff>397669</xdr:colOff>
      <xdr:row>38</xdr:row>
      <xdr:rowOff>139700</xdr:rowOff>
    </xdr:to>
    <xdr:sp macro="" textlink="">
      <xdr:nvSpPr>
        <xdr:cNvPr id="1172" name="Object 148" hidden="1">
          <a:extLst>
            <a:ext uri="{63B3BB69-23CF-44E3-9099-C40C66FF867C}">
              <a14:compatExt xmlns:a14="http://schemas.microsoft.com/office/drawing/2010/main" spid="_x0000_s1172"/>
            </a:ext>
            <a:ext uri="{FF2B5EF4-FFF2-40B4-BE49-F238E27FC236}">
              <a16:creationId xmlns:a16="http://schemas.microsoft.com/office/drawing/2014/main" id="{00000000-0008-0000-0700-000094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31750</xdr:colOff>
      <xdr:row>39</xdr:row>
      <xdr:rowOff>44450</xdr:rowOff>
    </xdr:from>
    <xdr:to>
      <xdr:col>11</xdr:col>
      <xdr:colOff>353218</xdr:colOff>
      <xdr:row>41</xdr:row>
      <xdr:rowOff>139700</xdr:rowOff>
    </xdr:to>
    <xdr:sp macro="" textlink="">
      <xdr:nvSpPr>
        <xdr:cNvPr id="1173" name="Object 149" hidden="1">
          <a:extLst>
            <a:ext uri="{63B3BB69-23CF-44E3-9099-C40C66FF867C}">
              <a14:compatExt xmlns:a14="http://schemas.microsoft.com/office/drawing/2010/main" spid="_x0000_s1173"/>
            </a:ext>
            <a:ext uri="{FF2B5EF4-FFF2-40B4-BE49-F238E27FC236}">
              <a16:creationId xmlns:a16="http://schemas.microsoft.com/office/drawing/2014/main" id="{00000000-0008-0000-0700-000095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20</xdr:col>
      <xdr:colOff>44450</xdr:colOff>
      <xdr:row>68</xdr:row>
      <xdr:rowOff>114300</xdr:rowOff>
    </xdr:from>
    <xdr:to>
      <xdr:col>23</xdr:col>
      <xdr:colOff>301382</xdr:colOff>
      <xdr:row>72</xdr:row>
      <xdr:rowOff>107950</xdr:rowOff>
    </xdr:to>
    <xdr:sp macro="" textlink="">
      <xdr:nvSpPr>
        <xdr:cNvPr id="1174" name="Object 150" hidden="1">
          <a:extLst>
            <a:ext uri="{63B3BB69-23CF-44E3-9099-C40C66FF867C}">
              <a14:compatExt xmlns:a14="http://schemas.microsoft.com/office/drawing/2010/main" spid="_x0000_s1174"/>
            </a:ext>
            <a:ext uri="{FF2B5EF4-FFF2-40B4-BE49-F238E27FC236}">
              <a16:creationId xmlns:a16="http://schemas.microsoft.com/office/drawing/2014/main" id="{00000000-0008-0000-0700-000096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41</xdr:col>
      <xdr:colOff>6350</xdr:colOff>
      <xdr:row>0</xdr:row>
      <xdr:rowOff>31750</xdr:rowOff>
    </xdr:from>
    <xdr:to>
      <xdr:col>46</xdr:col>
      <xdr:colOff>228600</xdr:colOff>
      <xdr:row>1</xdr:row>
      <xdr:rowOff>158750</xdr:rowOff>
    </xdr:to>
    <xdr:sp macro="" textlink="">
      <xdr:nvSpPr>
        <xdr:cNvPr id="1176" name="Object 152" hidden="1">
          <a:extLst>
            <a:ext uri="{63B3BB69-23CF-44E3-9099-C40C66FF867C}">
              <a14:compatExt xmlns:a14="http://schemas.microsoft.com/office/drawing/2010/main" spid="_x0000_s1176"/>
            </a:ext>
            <a:ext uri="{FF2B5EF4-FFF2-40B4-BE49-F238E27FC236}">
              <a16:creationId xmlns:a16="http://schemas.microsoft.com/office/drawing/2014/main" id="{00000000-0008-0000-0700-000098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60</xdr:col>
      <xdr:colOff>25400</xdr:colOff>
      <xdr:row>0</xdr:row>
      <xdr:rowOff>63500</xdr:rowOff>
    </xdr:from>
    <xdr:to>
      <xdr:col>66</xdr:col>
      <xdr:colOff>222249</xdr:colOff>
      <xdr:row>1</xdr:row>
      <xdr:rowOff>139700</xdr:rowOff>
    </xdr:to>
    <xdr:sp macro="" textlink="">
      <xdr:nvSpPr>
        <xdr:cNvPr id="1177" name="Object 153" hidden="1">
          <a:extLst>
            <a:ext uri="{63B3BB69-23CF-44E3-9099-C40C66FF867C}">
              <a14:compatExt xmlns:a14="http://schemas.microsoft.com/office/drawing/2010/main" spid="_x0000_s1177"/>
            </a:ext>
            <a:ext uri="{FF2B5EF4-FFF2-40B4-BE49-F238E27FC236}">
              <a16:creationId xmlns:a16="http://schemas.microsoft.com/office/drawing/2014/main" id="{00000000-0008-0000-0700-000099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75</xdr:col>
      <xdr:colOff>25400</xdr:colOff>
      <xdr:row>0</xdr:row>
      <xdr:rowOff>25400</xdr:rowOff>
    </xdr:from>
    <xdr:to>
      <xdr:col>77</xdr:col>
      <xdr:colOff>482601</xdr:colOff>
      <xdr:row>1</xdr:row>
      <xdr:rowOff>152400</xdr:rowOff>
    </xdr:to>
    <xdr:sp macro="" textlink="">
      <xdr:nvSpPr>
        <xdr:cNvPr id="1178" name="Object 154" hidden="1">
          <a:extLst>
            <a:ext uri="{63B3BB69-23CF-44E3-9099-C40C66FF867C}">
              <a14:compatExt xmlns:a14="http://schemas.microsoft.com/office/drawing/2010/main" spid="_x0000_s1178"/>
            </a:ext>
            <a:ext uri="{FF2B5EF4-FFF2-40B4-BE49-F238E27FC236}">
              <a16:creationId xmlns:a16="http://schemas.microsoft.com/office/drawing/2014/main" id="{00000000-0008-0000-0700-00009A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20</xdr:col>
      <xdr:colOff>25400</xdr:colOff>
      <xdr:row>94</xdr:row>
      <xdr:rowOff>177800</xdr:rowOff>
    </xdr:from>
    <xdr:to>
      <xdr:col>24</xdr:col>
      <xdr:colOff>48847</xdr:colOff>
      <xdr:row>97</xdr:row>
      <xdr:rowOff>38100</xdr:rowOff>
    </xdr:to>
    <xdr:sp macro="" textlink="">
      <xdr:nvSpPr>
        <xdr:cNvPr id="1179" name="Object 155" hidden="1">
          <a:extLst>
            <a:ext uri="{63B3BB69-23CF-44E3-9099-C40C66FF867C}">
              <a14:compatExt xmlns:a14="http://schemas.microsoft.com/office/drawing/2010/main" spid="_x0000_s1179"/>
            </a:ext>
            <a:ext uri="{FF2B5EF4-FFF2-40B4-BE49-F238E27FC236}">
              <a16:creationId xmlns:a16="http://schemas.microsoft.com/office/drawing/2014/main" id="{00000000-0008-0000-0700-00009B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20</xdr:col>
      <xdr:colOff>76200</xdr:colOff>
      <xdr:row>100</xdr:row>
      <xdr:rowOff>139700</xdr:rowOff>
    </xdr:from>
    <xdr:to>
      <xdr:col>23</xdr:col>
      <xdr:colOff>187082</xdr:colOff>
      <xdr:row>103</xdr:row>
      <xdr:rowOff>6350</xdr:rowOff>
    </xdr:to>
    <xdr:sp macro="" textlink="">
      <xdr:nvSpPr>
        <xdr:cNvPr id="1180" name="Object 156" hidden="1">
          <a:extLst>
            <a:ext uri="{63B3BB69-23CF-44E3-9099-C40C66FF867C}">
              <a14:compatExt xmlns:a14="http://schemas.microsoft.com/office/drawing/2010/main" spid="_x0000_s1180"/>
            </a:ext>
            <a:ext uri="{FF2B5EF4-FFF2-40B4-BE49-F238E27FC236}">
              <a16:creationId xmlns:a16="http://schemas.microsoft.com/office/drawing/2014/main" id="{00000000-0008-0000-0700-00009C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82</xdr:col>
      <xdr:colOff>44450</xdr:colOff>
      <xdr:row>0</xdr:row>
      <xdr:rowOff>76200</xdr:rowOff>
    </xdr:from>
    <xdr:to>
      <xdr:col>90</xdr:col>
      <xdr:colOff>311149</xdr:colOff>
      <xdr:row>1</xdr:row>
      <xdr:rowOff>146050</xdr:rowOff>
    </xdr:to>
    <xdr:sp macro="" textlink="">
      <xdr:nvSpPr>
        <xdr:cNvPr id="1181" name="Object 157" hidden="1">
          <a:extLst>
            <a:ext uri="{63B3BB69-23CF-44E3-9099-C40C66FF867C}">
              <a14:compatExt xmlns:a14="http://schemas.microsoft.com/office/drawing/2010/main" spid="_x0000_s1181"/>
            </a:ext>
            <a:ext uri="{FF2B5EF4-FFF2-40B4-BE49-F238E27FC236}">
              <a16:creationId xmlns:a16="http://schemas.microsoft.com/office/drawing/2014/main" id="{00000000-0008-0000-0700-00009D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38100</xdr:colOff>
      <xdr:row>7</xdr:row>
      <xdr:rowOff>38100</xdr:rowOff>
    </xdr:from>
    <xdr:to>
      <xdr:col>5</xdr:col>
      <xdr:colOff>571500</xdr:colOff>
      <xdr:row>8</xdr:row>
      <xdr:rowOff>13299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457325"/>
          <a:ext cx="114300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7</xdr:col>
      <xdr:colOff>219075</xdr:colOff>
      <xdr:row>7</xdr:row>
      <xdr:rowOff>38100</xdr:rowOff>
    </xdr:from>
    <xdr:to>
      <xdr:col>8</xdr:col>
      <xdr:colOff>3781</xdr:colOff>
      <xdr:row>8</xdr:row>
      <xdr:rowOff>12700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1457325"/>
          <a:ext cx="39052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9</xdr:col>
      <xdr:colOff>350560</xdr:colOff>
      <xdr:row>13</xdr:row>
      <xdr:rowOff>1796</xdr:rowOff>
    </xdr:from>
    <xdr:to>
      <xdr:col>9</xdr:col>
      <xdr:colOff>589359</xdr:colOff>
      <xdr:row>14</xdr:row>
      <xdr:rowOff>47624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7185" y="2662843"/>
          <a:ext cx="238799" cy="23632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42</xdr:row>
      <xdr:rowOff>238125</xdr:rowOff>
    </xdr:from>
    <xdr:to>
      <xdr:col>6</xdr:col>
      <xdr:colOff>159544</xdr:colOff>
      <xdr:row>44</xdr:row>
      <xdr:rowOff>9525</xdr:rowOff>
    </xdr:to>
    <xdr:pic>
      <xdr:nvPicPr>
        <xdr:cNvPr id="11" name="Picture 13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8401050"/>
          <a:ext cx="138112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19</xdr:row>
      <xdr:rowOff>47625</xdr:rowOff>
    </xdr:from>
    <xdr:to>
      <xdr:col>0</xdr:col>
      <xdr:colOff>561975</xdr:colOff>
      <xdr:row>20</xdr:row>
      <xdr:rowOff>9525</xdr:rowOff>
    </xdr:to>
    <xdr:pic>
      <xdr:nvPicPr>
        <xdr:cNvPr id="12" name="Picture 15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38575"/>
          <a:ext cx="1809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18</xdr:row>
      <xdr:rowOff>9525</xdr:rowOff>
    </xdr:from>
    <xdr:to>
      <xdr:col>1</xdr:col>
      <xdr:colOff>3779</xdr:colOff>
      <xdr:row>19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609975"/>
          <a:ext cx="25717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400050</xdr:colOff>
      <xdr:row>57</xdr:row>
      <xdr:rowOff>38100</xdr:rowOff>
    </xdr:from>
    <xdr:to>
      <xdr:col>4</xdr:col>
      <xdr:colOff>571500</xdr:colOff>
      <xdr:row>58</xdr:row>
      <xdr:rowOff>1797</xdr:rowOff>
    </xdr:to>
    <xdr:pic>
      <xdr:nvPicPr>
        <xdr:cNvPr id="14" name="Picture 2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13811250"/>
          <a:ext cx="171450" cy="15419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63</xdr:row>
      <xdr:rowOff>9525</xdr:rowOff>
    </xdr:from>
    <xdr:to>
      <xdr:col>5</xdr:col>
      <xdr:colOff>1322</xdr:colOff>
      <xdr:row>64</xdr:row>
      <xdr:rowOff>1797</xdr:rowOff>
    </xdr:to>
    <xdr:pic>
      <xdr:nvPicPr>
        <xdr:cNvPr id="15" name="Picture 23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12258675"/>
          <a:ext cx="5429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400050</xdr:colOff>
      <xdr:row>51</xdr:row>
      <xdr:rowOff>38100</xdr:rowOff>
    </xdr:from>
    <xdr:to>
      <xdr:col>5</xdr:col>
      <xdr:colOff>1322</xdr:colOff>
      <xdr:row>52</xdr:row>
      <xdr:rowOff>1797</xdr:rowOff>
    </xdr:to>
    <xdr:pic>
      <xdr:nvPicPr>
        <xdr:cNvPr id="16" name="Picture 2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10001250"/>
          <a:ext cx="2095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51</xdr:row>
      <xdr:rowOff>0</xdr:rowOff>
    </xdr:from>
    <xdr:to>
      <xdr:col>7</xdr:col>
      <xdr:colOff>3968</xdr:colOff>
      <xdr:row>52</xdr:row>
      <xdr:rowOff>786</xdr:rowOff>
    </xdr:to>
    <xdr:pic>
      <xdr:nvPicPr>
        <xdr:cNvPr id="17" name="Picture 2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5325" y="9969500"/>
          <a:ext cx="2571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447675</xdr:colOff>
      <xdr:row>62</xdr:row>
      <xdr:rowOff>266700</xdr:rowOff>
    </xdr:from>
    <xdr:to>
      <xdr:col>8</xdr:col>
      <xdr:colOff>3780</xdr:colOff>
      <xdr:row>64</xdr:row>
      <xdr:rowOff>180975</xdr:rowOff>
    </xdr:to>
    <xdr:pic>
      <xdr:nvPicPr>
        <xdr:cNvPr id="18" name="Picture 28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2249150"/>
          <a:ext cx="771525" cy="371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62</xdr:row>
      <xdr:rowOff>228600</xdr:rowOff>
    </xdr:from>
    <xdr:to>
      <xdr:col>10</xdr:col>
      <xdr:colOff>128</xdr:colOff>
      <xdr:row>64</xdr:row>
      <xdr:rowOff>123825</xdr:rowOff>
    </xdr:to>
    <xdr:pic>
      <xdr:nvPicPr>
        <xdr:cNvPr id="19" name="Picture 29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2249150"/>
          <a:ext cx="495300" cy="314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21</xdr:col>
      <xdr:colOff>202223</xdr:colOff>
      <xdr:row>7</xdr:row>
      <xdr:rowOff>23446</xdr:rowOff>
    </xdr:from>
    <xdr:to>
      <xdr:col>21</xdr:col>
      <xdr:colOff>432289</xdr:colOff>
      <xdr:row>8</xdr:row>
      <xdr:rowOff>998</xdr:rowOff>
    </xdr:to>
    <xdr:pic>
      <xdr:nvPicPr>
        <xdr:cNvPr id="20" name="Picture 30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7511" y="1444869"/>
          <a:ext cx="230066" cy="19445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21</xdr:col>
      <xdr:colOff>241055</xdr:colOff>
      <xdr:row>8</xdr:row>
      <xdr:rowOff>23446</xdr:rowOff>
    </xdr:from>
    <xdr:to>
      <xdr:col>21</xdr:col>
      <xdr:colOff>431555</xdr:colOff>
      <xdr:row>8</xdr:row>
      <xdr:rowOff>175846</xdr:rowOff>
    </xdr:to>
    <xdr:pic>
      <xdr:nvPicPr>
        <xdr:cNvPr id="21" name="Picture 3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6343" y="1672004"/>
          <a:ext cx="19050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21</xdr:col>
      <xdr:colOff>209550</xdr:colOff>
      <xdr:row>11</xdr:row>
      <xdr:rowOff>47625</xdr:rowOff>
    </xdr:from>
    <xdr:to>
      <xdr:col>21</xdr:col>
      <xdr:colOff>439616</xdr:colOff>
      <xdr:row>11</xdr:row>
      <xdr:rowOff>209176</xdr:rowOff>
    </xdr:to>
    <xdr:pic>
      <xdr:nvPicPr>
        <xdr:cNvPr id="22" name="Picture 32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0" y="1466850"/>
          <a:ext cx="22860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21</xdr:col>
      <xdr:colOff>47625</xdr:colOff>
      <xdr:row>12</xdr:row>
      <xdr:rowOff>38100</xdr:rowOff>
    </xdr:from>
    <xdr:to>
      <xdr:col>21</xdr:col>
      <xdr:colOff>439616</xdr:colOff>
      <xdr:row>13</xdr:row>
      <xdr:rowOff>42054</xdr:rowOff>
    </xdr:to>
    <xdr:pic>
      <xdr:nvPicPr>
        <xdr:cNvPr id="23" name="Picture 33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7325" y="1695450"/>
          <a:ext cx="3905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21</xdr:col>
      <xdr:colOff>209550</xdr:colOff>
      <xdr:row>15</xdr:row>
      <xdr:rowOff>38100</xdr:rowOff>
    </xdr:from>
    <xdr:to>
      <xdr:col>21</xdr:col>
      <xdr:colOff>439616</xdr:colOff>
      <xdr:row>15</xdr:row>
      <xdr:rowOff>192297</xdr:rowOff>
    </xdr:to>
    <xdr:pic>
      <xdr:nvPicPr>
        <xdr:cNvPr id="24" name="Picture 36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0" y="2305050"/>
          <a:ext cx="22860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3</xdr:col>
      <xdr:colOff>1038225</xdr:colOff>
      <xdr:row>21</xdr:row>
      <xdr:rowOff>238125</xdr:rowOff>
    </xdr:from>
    <xdr:to>
      <xdr:col>8</xdr:col>
      <xdr:colOff>547816</xdr:colOff>
      <xdr:row>23</xdr:row>
      <xdr:rowOff>183029</xdr:rowOff>
    </xdr:to>
    <xdr:pic>
      <xdr:nvPicPr>
        <xdr:cNvPr id="25" name="Picture 49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4362450"/>
          <a:ext cx="3048000" cy="381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1038225</xdr:colOff>
      <xdr:row>27</xdr:row>
      <xdr:rowOff>95250</xdr:rowOff>
    </xdr:from>
    <xdr:to>
      <xdr:col>2</xdr:col>
      <xdr:colOff>438150</xdr:colOff>
      <xdr:row>28</xdr:row>
      <xdr:rowOff>180975</xdr:rowOff>
    </xdr:to>
    <xdr:pic>
      <xdr:nvPicPr>
        <xdr:cNvPr id="28" name="Picture 58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10200"/>
          <a:ext cx="2762250" cy="276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109160</xdr:colOff>
      <xdr:row>24</xdr:row>
      <xdr:rowOff>161745</xdr:rowOff>
    </xdr:from>
    <xdr:to>
      <xdr:col>4</xdr:col>
      <xdr:colOff>584082</xdr:colOff>
      <xdr:row>25</xdr:row>
      <xdr:rowOff>179716</xdr:rowOff>
    </xdr:to>
    <xdr:pic>
      <xdr:nvPicPr>
        <xdr:cNvPr id="29" name="Picture 59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9608" y="4870330"/>
          <a:ext cx="474922" cy="20667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7</xdr:col>
      <xdr:colOff>381191</xdr:colOff>
      <xdr:row>25</xdr:row>
      <xdr:rowOff>26957</xdr:rowOff>
    </xdr:from>
    <xdr:to>
      <xdr:col>7</xdr:col>
      <xdr:colOff>602051</xdr:colOff>
      <xdr:row>26</xdr:row>
      <xdr:rowOff>26773</xdr:rowOff>
    </xdr:to>
    <xdr:pic>
      <xdr:nvPicPr>
        <xdr:cNvPr id="30" name="Picture 60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4752" y="4924245"/>
          <a:ext cx="220860" cy="18851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381000</xdr:colOff>
      <xdr:row>30</xdr:row>
      <xdr:rowOff>266700</xdr:rowOff>
    </xdr:from>
    <xdr:to>
      <xdr:col>5</xdr:col>
      <xdr:colOff>1322</xdr:colOff>
      <xdr:row>32</xdr:row>
      <xdr:rowOff>38100</xdr:rowOff>
    </xdr:to>
    <xdr:pic>
      <xdr:nvPicPr>
        <xdr:cNvPr id="31" name="Picture 6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6076950"/>
          <a:ext cx="228600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28</xdr:row>
      <xdr:rowOff>95250</xdr:rowOff>
    </xdr:from>
    <xdr:to>
      <xdr:col>9</xdr:col>
      <xdr:colOff>547816</xdr:colOff>
      <xdr:row>30</xdr:row>
      <xdr:rowOff>152400</xdr:rowOff>
    </xdr:to>
    <xdr:pic>
      <xdr:nvPicPr>
        <xdr:cNvPr id="32" name="Picture 62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600700"/>
          <a:ext cx="3648075" cy="438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31</xdr:row>
      <xdr:rowOff>0</xdr:rowOff>
    </xdr:from>
    <xdr:to>
      <xdr:col>8</xdr:col>
      <xdr:colOff>3781</xdr:colOff>
      <xdr:row>32</xdr:row>
      <xdr:rowOff>95250</xdr:rowOff>
    </xdr:to>
    <xdr:pic>
      <xdr:nvPicPr>
        <xdr:cNvPr id="33" name="Picture 63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6076950"/>
          <a:ext cx="314325" cy="285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20</xdr:col>
      <xdr:colOff>4457700</xdr:colOff>
      <xdr:row>19</xdr:row>
      <xdr:rowOff>0</xdr:rowOff>
    </xdr:from>
    <xdr:to>
      <xdr:col>21</xdr:col>
      <xdr:colOff>439617</xdr:colOff>
      <xdr:row>20</xdr:row>
      <xdr:rowOff>785</xdr:rowOff>
    </xdr:to>
    <xdr:pic>
      <xdr:nvPicPr>
        <xdr:cNvPr id="34" name="Picture 64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3028950"/>
          <a:ext cx="43815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20</xdr:col>
      <xdr:colOff>4495800</xdr:colOff>
      <xdr:row>20</xdr:row>
      <xdr:rowOff>95250</xdr:rowOff>
    </xdr:from>
    <xdr:to>
      <xdr:col>21</xdr:col>
      <xdr:colOff>439617</xdr:colOff>
      <xdr:row>21</xdr:row>
      <xdr:rowOff>66675</xdr:rowOff>
    </xdr:to>
    <xdr:pic>
      <xdr:nvPicPr>
        <xdr:cNvPr id="35" name="Picture 65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3314700"/>
          <a:ext cx="4381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54</xdr:row>
      <xdr:rowOff>104775</xdr:rowOff>
    </xdr:from>
    <xdr:to>
      <xdr:col>7</xdr:col>
      <xdr:colOff>92868</xdr:colOff>
      <xdr:row>56</xdr:row>
      <xdr:rowOff>95250</xdr:rowOff>
    </xdr:to>
    <xdr:pic>
      <xdr:nvPicPr>
        <xdr:cNvPr id="39" name="Picture 75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0639425"/>
          <a:ext cx="1819275" cy="371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19</xdr:col>
      <xdr:colOff>133716</xdr:colOff>
      <xdr:row>72</xdr:row>
      <xdr:rowOff>56418</xdr:rowOff>
    </xdr:from>
    <xdr:to>
      <xdr:col>20</xdr:col>
      <xdr:colOff>1340215</xdr:colOff>
      <xdr:row>74</xdr:row>
      <xdr:rowOff>56418</xdr:rowOff>
    </xdr:to>
    <xdr:pic>
      <xdr:nvPicPr>
        <xdr:cNvPr id="47" name="Picture 8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408" y="14036187"/>
          <a:ext cx="2506622" cy="381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19</xdr:col>
      <xdr:colOff>41673</xdr:colOff>
      <xdr:row>77</xdr:row>
      <xdr:rowOff>14287</xdr:rowOff>
    </xdr:from>
    <xdr:to>
      <xdr:col>21</xdr:col>
      <xdr:colOff>337356</xdr:colOff>
      <xdr:row>78</xdr:row>
      <xdr:rowOff>109537</xdr:rowOff>
    </xdr:to>
    <xdr:pic>
      <xdr:nvPicPr>
        <xdr:cNvPr id="48" name="Picture 8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3095" y="13795771"/>
          <a:ext cx="4099322" cy="285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44</xdr:row>
      <xdr:rowOff>266700</xdr:rowOff>
    </xdr:from>
    <xdr:to>
      <xdr:col>6</xdr:col>
      <xdr:colOff>121444</xdr:colOff>
      <xdr:row>46</xdr:row>
      <xdr:rowOff>47625</xdr:rowOff>
    </xdr:to>
    <xdr:pic>
      <xdr:nvPicPr>
        <xdr:cNvPr id="49" name="Picture 89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8782050"/>
          <a:ext cx="1333500" cy="238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209550</xdr:colOff>
      <xdr:row>58</xdr:row>
      <xdr:rowOff>1797</xdr:rowOff>
    </xdr:to>
    <xdr:pic>
      <xdr:nvPicPr>
        <xdr:cNvPr id="50" name="Picture 90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13773150"/>
          <a:ext cx="209550" cy="19229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8</xdr:col>
      <xdr:colOff>638175</xdr:colOff>
      <xdr:row>42</xdr:row>
      <xdr:rowOff>342900</xdr:rowOff>
    </xdr:from>
    <xdr:to>
      <xdr:col>10</xdr:col>
      <xdr:colOff>128</xdr:colOff>
      <xdr:row>44</xdr:row>
      <xdr:rowOff>47625</xdr:rowOff>
    </xdr:to>
    <xdr:pic>
      <xdr:nvPicPr>
        <xdr:cNvPr id="55" name="Picture 13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8401050"/>
          <a:ext cx="609600" cy="238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75</xdr:col>
      <xdr:colOff>38100</xdr:colOff>
      <xdr:row>0</xdr:row>
      <xdr:rowOff>38100</xdr:rowOff>
    </xdr:from>
    <xdr:to>
      <xdr:col>78</xdr:col>
      <xdr:colOff>0</xdr:colOff>
      <xdr:row>2</xdr:row>
      <xdr:rowOff>1797</xdr:rowOff>
    </xdr:to>
    <xdr:pic>
      <xdr:nvPicPr>
        <xdr:cNvPr id="61" name="Picture 154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0" y="38100"/>
          <a:ext cx="17907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19</xdr:col>
      <xdr:colOff>23447</xdr:colOff>
      <xdr:row>94</xdr:row>
      <xdr:rowOff>139212</xdr:rowOff>
    </xdr:from>
    <xdr:to>
      <xdr:col>22</xdr:col>
      <xdr:colOff>18724</xdr:colOff>
      <xdr:row>97</xdr:row>
      <xdr:rowOff>5862</xdr:rowOff>
    </xdr:to>
    <xdr:pic>
      <xdr:nvPicPr>
        <xdr:cNvPr id="62" name="Picture 155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9139" y="18309981"/>
          <a:ext cx="4731727" cy="438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19</xdr:col>
      <xdr:colOff>121628</xdr:colOff>
      <xdr:row>100</xdr:row>
      <xdr:rowOff>109904</xdr:rowOff>
    </xdr:from>
    <xdr:to>
      <xdr:col>21</xdr:col>
      <xdr:colOff>467866</xdr:colOff>
      <xdr:row>102</xdr:row>
      <xdr:rowOff>119429</xdr:rowOff>
    </xdr:to>
    <xdr:pic>
      <xdr:nvPicPr>
        <xdr:cNvPr id="63" name="Picture 156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7320" y="19423673"/>
          <a:ext cx="4152167" cy="390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82</xdr:col>
      <xdr:colOff>66675</xdr:colOff>
      <xdr:row>0</xdr:row>
      <xdr:rowOff>114300</xdr:rowOff>
    </xdr:from>
    <xdr:to>
      <xdr:col>90</xdr:col>
      <xdr:colOff>466724</xdr:colOff>
      <xdr:row>2</xdr:row>
      <xdr:rowOff>1797</xdr:rowOff>
    </xdr:to>
    <xdr:pic>
      <xdr:nvPicPr>
        <xdr:cNvPr id="1152" name="Picture 157">
          <a:extLst>
            <a:ext uri="{FF2B5EF4-FFF2-40B4-BE49-F238E27FC236}">
              <a16:creationId xmlns:a16="http://schemas.microsoft.com/office/drawing/2014/main" id="{00000000-0008-0000-0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52400" y="114300"/>
          <a:ext cx="5276850" cy="266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0</xdr:rowOff>
        </xdr:from>
        <xdr:to>
          <xdr:col>13</xdr:col>
          <xdr:colOff>104775</xdr:colOff>
          <xdr:row>6</xdr:row>
          <xdr:rowOff>133350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7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342900</xdr:colOff>
          <xdr:row>7</xdr:row>
          <xdr:rowOff>0</xdr:rowOff>
        </xdr:from>
        <xdr:to>
          <xdr:col>9</xdr:col>
          <xdr:colOff>581025</xdr:colOff>
          <xdr:row>8</xdr:row>
          <xdr:rowOff>0</xdr:rowOff>
        </xdr:to>
        <xdr:sp macro="" textlink="">
          <xdr:nvSpPr>
            <xdr:cNvPr id="1184" name="Object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7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7</xdr:row>
          <xdr:rowOff>9525</xdr:rowOff>
        </xdr:from>
        <xdr:to>
          <xdr:col>12</xdr:col>
          <xdr:colOff>561975</xdr:colOff>
          <xdr:row>8</xdr:row>
          <xdr:rowOff>0</xdr:rowOff>
        </xdr:to>
        <xdr:sp macro="" textlink="">
          <xdr:nvSpPr>
            <xdr:cNvPr id="1185" name="Object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7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5</xdr:row>
          <xdr:rowOff>9525</xdr:rowOff>
        </xdr:from>
        <xdr:to>
          <xdr:col>16</xdr:col>
          <xdr:colOff>533400</xdr:colOff>
          <xdr:row>6</xdr:row>
          <xdr:rowOff>133350</xdr:rowOff>
        </xdr:to>
        <xdr:sp macro="" textlink="">
          <xdr:nvSpPr>
            <xdr:cNvPr id="1186" name="Object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7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16</xdr:row>
          <xdr:rowOff>38100</xdr:rowOff>
        </xdr:from>
        <xdr:to>
          <xdr:col>7</xdr:col>
          <xdr:colOff>390525</xdr:colOff>
          <xdr:row>17</xdr:row>
          <xdr:rowOff>133350</xdr:rowOff>
        </xdr:to>
        <xdr:sp macro="" textlink="">
          <xdr:nvSpPr>
            <xdr:cNvPr id="1188" name="Object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7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409575</xdr:colOff>
          <xdr:row>18</xdr:row>
          <xdr:rowOff>19050</xdr:rowOff>
        </xdr:from>
        <xdr:to>
          <xdr:col>4</xdr:col>
          <xdr:colOff>571500</xdr:colOff>
          <xdr:row>18</xdr:row>
          <xdr:rowOff>180975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7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352425</xdr:colOff>
          <xdr:row>18</xdr:row>
          <xdr:rowOff>9525</xdr:rowOff>
        </xdr:from>
        <xdr:to>
          <xdr:col>7</xdr:col>
          <xdr:colOff>542925</xdr:colOff>
          <xdr:row>19</xdr:row>
          <xdr:rowOff>0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7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49</xdr:row>
          <xdr:rowOff>66675</xdr:rowOff>
        </xdr:from>
        <xdr:to>
          <xdr:col>10</xdr:col>
          <xdr:colOff>523875</xdr:colOff>
          <xdr:row>50</xdr:row>
          <xdr:rowOff>161925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7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266700</xdr:colOff>
          <xdr:row>51</xdr:row>
          <xdr:rowOff>9525</xdr:rowOff>
        </xdr:from>
        <xdr:to>
          <xdr:col>9</xdr:col>
          <xdr:colOff>457200</xdr:colOff>
          <xdr:row>52</xdr:row>
          <xdr:rowOff>9525</xdr:rowOff>
        </xdr:to>
        <xdr:sp macro="" textlink="">
          <xdr:nvSpPr>
            <xdr:cNvPr id="1192" name="Object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7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60</xdr:row>
          <xdr:rowOff>85725</xdr:rowOff>
        </xdr:from>
        <xdr:to>
          <xdr:col>12</xdr:col>
          <xdr:colOff>438150</xdr:colOff>
          <xdr:row>62</xdr:row>
          <xdr:rowOff>0</xdr:rowOff>
        </xdr:to>
        <xdr:sp macro="" textlink="">
          <xdr:nvSpPr>
            <xdr:cNvPr id="1193" name="Object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7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65</xdr:row>
          <xdr:rowOff>9525</xdr:rowOff>
        </xdr:from>
        <xdr:to>
          <xdr:col>6</xdr:col>
          <xdr:colOff>257175</xdr:colOff>
          <xdr:row>66</xdr:row>
          <xdr:rowOff>28575</xdr:rowOff>
        </xdr:to>
        <xdr:sp macro="" textlink="">
          <xdr:nvSpPr>
            <xdr:cNvPr id="1194" name="Object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7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514350</xdr:colOff>
          <xdr:row>68</xdr:row>
          <xdr:rowOff>9525</xdr:rowOff>
        </xdr:from>
        <xdr:to>
          <xdr:col>9</xdr:col>
          <xdr:colOff>333375</xdr:colOff>
          <xdr:row>69</xdr:row>
          <xdr:rowOff>123825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7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70</xdr:row>
          <xdr:rowOff>0</xdr:rowOff>
        </xdr:from>
        <xdr:to>
          <xdr:col>7</xdr:col>
          <xdr:colOff>542925</xdr:colOff>
          <xdr:row>71</xdr:row>
          <xdr:rowOff>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7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69</xdr:row>
          <xdr:rowOff>171450</xdr:rowOff>
        </xdr:from>
        <xdr:to>
          <xdr:col>9</xdr:col>
          <xdr:colOff>523875</xdr:colOff>
          <xdr:row>71</xdr:row>
          <xdr:rowOff>9525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7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361950</xdr:colOff>
          <xdr:row>69</xdr:row>
          <xdr:rowOff>190500</xdr:rowOff>
        </xdr:from>
        <xdr:to>
          <xdr:col>4</xdr:col>
          <xdr:colOff>542925</xdr:colOff>
          <xdr:row>70</xdr:row>
          <xdr:rowOff>180975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7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68</xdr:row>
          <xdr:rowOff>9525</xdr:rowOff>
        </xdr:from>
        <xdr:to>
          <xdr:col>10</xdr:col>
          <xdr:colOff>152400</xdr:colOff>
          <xdr:row>69</xdr:row>
          <xdr:rowOff>104775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7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10</xdr:col>
      <xdr:colOff>224518</xdr:colOff>
      <xdr:row>68</xdr:row>
      <xdr:rowOff>108857</xdr:rowOff>
    </xdr:from>
    <xdr:to>
      <xdr:col>10</xdr:col>
      <xdr:colOff>612321</xdr:colOff>
      <xdr:row>68</xdr:row>
      <xdr:rowOff>115660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CxnSpPr/>
      </xdr:nvCxnSpPr>
      <xdr:spPr>
        <a:xfrm flipH="1">
          <a:off x="8109857" y="13321393"/>
          <a:ext cx="387803" cy="680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73</xdr:row>
          <xdr:rowOff>38100</xdr:rowOff>
        </xdr:from>
        <xdr:to>
          <xdr:col>9</xdr:col>
          <xdr:colOff>123825</xdr:colOff>
          <xdr:row>74</xdr:row>
          <xdr:rowOff>142875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7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93</xdr:row>
          <xdr:rowOff>57150</xdr:rowOff>
        </xdr:from>
        <xdr:to>
          <xdr:col>5</xdr:col>
          <xdr:colOff>342900</xdr:colOff>
          <xdr:row>95</xdr:row>
          <xdr:rowOff>95250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7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99</xdr:row>
          <xdr:rowOff>28575</xdr:rowOff>
        </xdr:from>
        <xdr:to>
          <xdr:col>5</xdr:col>
          <xdr:colOff>581025</xdr:colOff>
          <xdr:row>100</xdr:row>
          <xdr:rowOff>161925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7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101</xdr:row>
          <xdr:rowOff>180975</xdr:rowOff>
        </xdr:from>
        <xdr:to>
          <xdr:col>6</xdr:col>
          <xdr:colOff>409575</xdr:colOff>
          <xdr:row>103</xdr:row>
          <xdr:rowOff>38100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7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238125</xdr:colOff>
          <xdr:row>7</xdr:row>
          <xdr:rowOff>0</xdr:rowOff>
        </xdr:from>
        <xdr:to>
          <xdr:col>14</xdr:col>
          <xdr:colOff>457200</xdr:colOff>
          <xdr:row>7</xdr:row>
          <xdr:rowOff>219075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7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76200</xdr:colOff>
          <xdr:row>33</xdr:row>
          <xdr:rowOff>133350</xdr:rowOff>
        </xdr:from>
        <xdr:to>
          <xdr:col>20</xdr:col>
          <xdr:colOff>1647825</xdr:colOff>
          <xdr:row>35</xdr:row>
          <xdr:rowOff>76200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7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38</xdr:row>
          <xdr:rowOff>95250</xdr:rowOff>
        </xdr:from>
        <xdr:to>
          <xdr:col>20</xdr:col>
          <xdr:colOff>1619250</xdr:colOff>
          <xdr:row>40</xdr:row>
          <xdr:rowOff>104775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7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133350</xdr:colOff>
          <xdr:row>43</xdr:row>
          <xdr:rowOff>114300</xdr:rowOff>
        </xdr:from>
        <xdr:to>
          <xdr:col>20</xdr:col>
          <xdr:colOff>1447800</xdr:colOff>
          <xdr:row>47</xdr:row>
          <xdr:rowOff>28575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7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142875</xdr:colOff>
          <xdr:row>3</xdr:row>
          <xdr:rowOff>0</xdr:rowOff>
        </xdr:from>
        <xdr:to>
          <xdr:col>21</xdr:col>
          <xdr:colOff>342900</xdr:colOff>
          <xdr:row>3</xdr:row>
          <xdr:rowOff>209550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7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66675</xdr:colOff>
          <xdr:row>49</xdr:row>
          <xdr:rowOff>57150</xdr:rowOff>
        </xdr:from>
        <xdr:to>
          <xdr:col>20</xdr:col>
          <xdr:colOff>2019300</xdr:colOff>
          <xdr:row>51</xdr:row>
          <xdr:rowOff>85725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7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95250</xdr:colOff>
          <xdr:row>53</xdr:row>
          <xdr:rowOff>0</xdr:rowOff>
        </xdr:from>
        <xdr:to>
          <xdr:col>20</xdr:col>
          <xdr:colOff>1838325</xdr:colOff>
          <xdr:row>56</xdr:row>
          <xdr:rowOff>76200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7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59</xdr:row>
          <xdr:rowOff>47625</xdr:rowOff>
        </xdr:from>
        <xdr:to>
          <xdr:col>20</xdr:col>
          <xdr:colOff>1304925</xdr:colOff>
          <xdr:row>62</xdr:row>
          <xdr:rowOff>123825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7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66675</xdr:colOff>
          <xdr:row>68</xdr:row>
          <xdr:rowOff>66675</xdr:rowOff>
        </xdr:from>
        <xdr:to>
          <xdr:col>20</xdr:col>
          <xdr:colOff>2476500</xdr:colOff>
          <xdr:row>70</xdr:row>
          <xdr:rowOff>171450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7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19</xdr:col>
      <xdr:colOff>76200</xdr:colOff>
      <xdr:row>80</xdr:row>
      <xdr:rowOff>76200</xdr:rowOff>
    </xdr:from>
    <xdr:ext cx="1863725" cy="381000"/>
    <xdr:sp macro="" textlink="">
      <xdr:nvSpPr>
        <xdr:cNvPr id="156" name="Object 86" hidden="1">
          <a:extLst>
            <a:ext uri="{63B3BB69-23CF-44E3-9099-C40C66FF867C}">
              <a14:compatExt xmlns:a14="http://schemas.microsoft.com/office/drawing/2010/main" spid="_x0000_s1110"/>
            </a:ex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SpPr/>
      </xdr:nvSpPr>
      <xdr:spPr bwMode="auto">
        <a:xfrm>
          <a:off x="13357622" y="13476684"/>
          <a:ext cx="1863725" cy="381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85725</xdr:colOff>
          <xdr:row>82</xdr:row>
          <xdr:rowOff>9525</xdr:rowOff>
        </xdr:from>
        <xdr:to>
          <xdr:col>20</xdr:col>
          <xdr:colOff>1733550</xdr:colOff>
          <xdr:row>83</xdr:row>
          <xdr:rowOff>123825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7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19</xdr:col>
      <xdr:colOff>76200</xdr:colOff>
      <xdr:row>84</xdr:row>
      <xdr:rowOff>76200</xdr:rowOff>
    </xdr:from>
    <xdr:ext cx="1863725" cy="381000"/>
    <xdr:sp macro="" textlink="">
      <xdr:nvSpPr>
        <xdr:cNvPr id="158" name="Object 86" hidden="1">
          <a:extLst>
            <a:ext uri="{63B3BB69-23CF-44E3-9099-C40C66FF867C}">
              <a14:compatExt xmlns:a14="http://schemas.microsoft.com/office/drawing/2010/main" spid="_x0000_s1110"/>
            </a:ex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SpPr/>
      </xdr:nvSpPr>
      <xdr:spPr bwMode="auto">
        <a:xfrm>
          <a:off x="13357622" y="15381684"/>
          <a:ext cx="1863725" cy="381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95250</xdr:colOff>
          <xdr:row>87</xdr:row>
          <xdr:rowOff>47625</xdr:rowOff>
        </xdr:from>
        <xdr:to>
          <xdr:col>20</xdr:col>
          <xdr:colOff>1876425</xdr:colOff>
          <xdr:row>88</xdr:row>
          <xdr:rowOff>152400</xdr:rowOff>
        </xdr:to>
        <xdr:sp macro="" textlink="">
          <xdr:nvSpPr>
            <xdr:cNvPr id="1269" name="Object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7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104</xdr:row>
          <xdr:rowOff>19050</xdr:rowOff>
        </xdr:from>
        <xdr:to>
          <xdr:col>6</xdr:col>
          <xdr:colOff>114300</xdr:colOff>
          <xdr:row>106</xdr:row>
          <xdr:rowOff>57150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7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542925</xdr:colOff>
          <xdr:row>0</xdr:row>
          <xdr:rowOff>0</xdr:rowOff>
        </xdr:from>
        <xdr:to>
          <xdr:col>46</xdr:col>
          <xdr:colOff>352425</xdr:colOff>
          <xdr:row>2</xdr:row>
          <xdr:rowOff>57150</xdr:rowOff>
        </xdr:to>
        <xdr:sp macro="" textlink="">
          <xdr:nvSpPr>
            <xdr:cNvPr id="1356" name="Object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00000000-0008-0000-0700-00004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60</xdr:col>
          <xdr:colOff>28575</xdr:colOff>
          <xdr:row>0</xdr:row>
          <xdr:rowOff>85725</xdr:rowOff>
        </xdr:from>
        <xdr:to>
          <xdr:col>61</xdr:col>
          <xdr:colOff>266700</xdr:colOff>
          <xdr:row>1</xdr:row>
          <xdr:rowOff>114300</xdr:rowOff>
        </xdr:to>
        <xdr:sp macro="" textlink="">
          <xdr:nvSpPr>
            <xdr:cNvPr id="1358" name="Object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0000000-0008-0000-0700-00004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590550</xdr:colOff>
          <xdr:row>0</xdr:row>
          <xdr:rowOff>38100</xdr:rowOff>
        </xdr:from>
        <xdr:to>
          <xdr:col>51</xdr:col>
          <xdr:colOff>476250</xdr:colOff>
          <xdr:row>1</xdr:row>
          <xdr:rowOff>152400</xdr:rowOff>
        </xdr:to>
        <xdr:sp macro="" textlink="">
          <xdr:nvSpPr>
            <xdr:cNvPr id="1359" name="Object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00000000-0008-0000-0700-00004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</xdr:col>
          <xdr:colOff>457200</xdr:colOff>
          <xdr:row>0</xdr:row>
          <xdr:rowOff>114300</xdr:rowOff>
        </xdr:from>
        <xdr:to>
          <xdr:col>58</xdr:col>
          <xdr:colOff>114300</xdr:colOff>
          <xdr:row>1</xdr:row>
          <xdr:rowOff>142875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7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109</xdr:row>
          <xdr:rowOff>161925</xdr:rowOff>
        </xdr:from>
        <xdr:to>
          <xdr:col>6</xdr:col>
          <xdr:colOff>447675</xdr:colOff>
          <xdr:row>111</xdr:row>
          <xdr:rowOff>38100</xdr:rowOff>
        </xdr:to>
        <xdr:sp macro="" textlink="">
          <xdr:nvSpPr>
            <xdr:cNvPr id="1361" name="Object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00000000-0008-0000-0700-00005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112</xdr:row>
          <xdr:rowOff>114300</xdr:rowOff>
        </xdr:from>
        <xdr:to>
          <xdr:col>13</xdr:col>
          <xdr:colOff>419100</xdr:colOff>
          <xdr:row>115</xdr:row>
          <xdr:rowOff>0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0000000-0008-0000-0700-00005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115</xdr:row>
          <xdr:rowOff>95250</xdr:rowOff>
        </xdr:from>
        <xdr:to>
          <xdr:col>8</xdr:col>
          <xdr:colOff>209550</xdr:colOff>
          <xdr:row>117</xdr:row>
          <xdr:rowOff>76200</xdr:rowOff>
        </xdr:to>
        <xdr:sp macro="" textlink="">
          <xdr:nvSpPr>
            <xdr:cNvPr id="1363" name="Object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00000000-0008-0000-0700-00005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117</xdr:row>
          <xdr:rowOff>142875</xdr:rowOff>
        </xdr:from>
        <xdr:to>
          <xdr:col>6</xdr:col>
          <xdr:colOff>400050</xdr:colOff>
          <xdr:row>120</xdr:row>
          <xdr:rowOff>9525</xdr:rowOff>
        </xdr:to>
        <xdr:sp macro="" textlink="">
          <xdr:nvSpPr>
            <xdr:cNvPr id="1364" name="Object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00000000-0008-0000-0700-00005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120</xdr:row>
          <xdr:rowOff>114300</xdr:rowOff>
        </xdr:from>
        <xdr:to>
          <xdr:col>4</xdr:col>
          <xdr:colOff>428625</xdr:colOff>
          <xdr:row>122</xdr:row>
          <xdr:rowOff>142875</xdr:rowOff>
        </xdr:to>
        <xdr:sp macro="" textlink="">
          <xdr:nvSpPr>
            <xdr:cNvPr id="1365" name="Object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00000000-0008-0000-0700-00005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123</xdr:row>
          <xdr:rowOff>161925</xdr:rowOff>
        </xdr:from>
        <xdr:to>
          <xdr:col>7</xdr:col>
          <xdr:colOff>123825</xdr:colOff>
          <xdr:row>125</xdr:row>
          <xdr:rowOff>38100</xdr:rowOff>
        </xdr:to>
        <xdr:sp macro="" textlink="">
          <xdr:nvSpPr>
            <xdr:cNvPr id="1390" name="Object 366" hidden="1">
              <a:extLst>
                <a:ext uri="{63B3BB69-23CF-44E3-9099-C40C66FF867C}">
                  <a14:compatExt spid="_x0000_s1390"/>
                </a:ext>
                <a:ext uri="{FF2B5EF4-FFF2-40B4-BE49-F238E27FC236}">
                  <a16:creationId xmlns:a16="http://schemas.microsoft.com/office/drawing/2014/main" id="{00000000-0008-0000-0700-00006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125</xdr:row>
          <xdr:rowOff>190500</xdr:rowOff>
        </xdr:from>
        <xdr:to>
          <xdr:col>7</xdr:col>
          <xdr:colOff>95250</xdr:colOff>
          <xdr:row>127</xdr:row>
          <xdr:rowOff>142875</xdr:rowOff>
        </xdr:to>
        <xdr:sp macro="" textlink="">
          <xdr:nvSpPr>
            <xdr:cNvPr id="1391" name="Object 367" hidden="1">
              <a:extLst>
                <a:ext uri="{63B3BB69-23CF-44E3-9099-C40C66FF867C}">
                  <a14:compatExt spid="_x0000_s1391"/>
                </a:ext>
                <a:ext uri="{FF2B5EF4-FFF2-40B4-BE49-F238E27FC236}">
                  <a16:creationId xmlns:a16="http://schemas.microsoft.com/office/drawing/2014/main" id="{00000000-0008-0000-0700-00006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10</xdr:row>
          <xdr:rowOff>142875</xdr:rowOff>
        </xdr:from>
        <xdr:to>
          <xdr:col>11</xdr:col>
          <xdr:colOff>57150</xdr:colOff>
          <xdr:row>12</xdr:row>
          <xdr:rowOff>85725</xdr:rowOff>
        </xdr:to>
        <xdr:sp macro="" textlink="">
          <xdr:nvSpPr>
            <xdr:cNvPr id="1392" name="Object 368" hidden="1">
              <a:extLst>
                <a:ext uri="{63B3BB69-23CF-44E3-9099-C40C66FF867C}">
                  <a14:compatExt spid="_x0000_s1392"/>
                </a:ext>
                <a:ext uri="{FF2B5EF4-FFF2-40B4-BE49-F238E27FC236}">
                  <a16:creationId xmlns:a16="http://schemas.microsoft.com/office/drawing/2014/main" id="{00000000-0008-0000-0700-00007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314325</xdr:colOff>
          <xdr:row>12</xdr:row>
          <xdr:rowOff>171450</xdr:rowOff>
        </xdr:from>
        <xdr:to>
          <xdr:col>7</xdr:col>
          <xdr:colOff>581025</xdr:colOff>
          <xdr:row>14</xdr:row>
          <xdr:rowOff>19050</xdr:rowOff>
        </xdr:to>
        <xdr:sp macro="" textlink="">
          <xdr:nvSpPr>
            <xdr:cNvPr id="1394" name="Object 370" hidden="1">
              <a:extLst>
                <a:ext uri="{63B3BB69-23CF-44E3-9099-C40C66FF867C}">
                  <a14:compatExt spid="_x0000_s1394"/>
                </a:ext>
                <a:ext uri="{FF2B5EF4-FFF2-40B4-BE49-F238E27FC236}">
                  <a16:creationId xmlns:a16="http://schemas.microsoft.com/office/drawing/2014/main" id="{00000000-0008-0000-0700-00007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11</xdr:row>
          <xdr:rowOff>161925</xdr:rowOff>
        </xdr:from>
        <xdr:to>
          <xdr:col>15</xdr:col>
          <xdr:colOff>209550</xdr:colOff>
          <xdr:row>12</xdr:row>
          <xdr:rowOff>152400</xdr:rowOff>
        </xdr:to>
        <xdr:sp macro="" textlink="">
          <xdr:nvSpPr>
            <xdr:cNvPr id="1395" name="Object 371" hidden="1">
              <a:extLst>
                <a:ext uri="{63B3BB69-23CF-44E3-9099-C40C66FF867C}">
                  <a14:compatExt spid="_x0000_s1395"/>
                </a:ext>
                <a:ext uri="{FF2B5EF4-FFF2-40B4-BE49-F238E27FC236}">
                  <a16:creationId xmlns:a16="http://schemas.microsoft.com/office/drawing/2014/main" id="{00000000-0008-0000-0700-00007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36</xdr:row>
          <xdr:rowOff>47625</xdr:rowOff>
        </xdr:from>
        <xdr:to>
          <xdr:col>10</xdr:col>
          <xdr:colOff>9525</xdr:colOff>
          <xdr:row>39</xdr:row>
          <xdr:rowOff>66675</xdr:rowOff>
        </xdr:to>
        <xdr:sp macro="" textlink="">
          <xdr:nvSpPr>
            <xdr:cNvPr id="1398" name="Object 374" hidden="1">
              <a:extLst>
                <a:ext uri="{63B3BB69-23CF-44E3-9099-C40C66FF867C}">
                  <a14:compatExt spid="_x0000_s1398"/>
                </a:ext>
                <a:ext uri="{FF2B5EF4-FFF2-40B4-BE49-F238E27FC236}">
                  <a16:creationId xmlns:a16="http://schemas.microsoft.com/office/drawing/2014/main" id="{00000000-0008-0000-0700-00007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104775</xdr:rowOff>
        </xdr:from>
        <xdr:to>
          <xdr:col>12</xdr:col>
          <xdr:colOff>352425</xdr:colOff>
          <xdr:row>42</xdr:row>
          <xdr:rowOff>114300</xdr:rowOff>
        </xdr:to>
        <xdr:sp macro="" textlink="">
          <xdr:nvSpPr>
            <xdr:cNvPr id="1399" name="Object 375" hidden="1">
              <a:extLst>
                <a:ext uri="{63B3BB69-23CF-44E3-9099-C40C66FF867C}">
                  <a14:compatExt spid="_x0000_s1399"/>
                </a:ext>
                <a:ext uri="{FF2B5EF4-FFF2-40B4-BE49-F238E27FC236}">
                  <a16:creationId xmlns:a16="http://schemas.microsoft.com/office/drawing/2014/main" id="{00000000-0008-0000-0700-00007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86</xdr:row>
          <xdr:rowOff>66675</xdr:rowOff>
        </xdr:from>
        <xdr:to>
          <xdr:col>14</xdr:col>
          <xdr:colOff>381000</xdr:colOff>
          <xdr:row>90</xdr:row>
          <xdr:rowOff>152400</xdr:rowOff>
        </xdr:to>
        <xdr:sp macro="" textlink="">
          <xdr:nvSpPr>
            <xdr:cNvPr id="1400" name="Object 376" hidden="1">
              <a:extLst>
                <a:ext uri="{63B3BB69-23CF-44E3-9099-C40C66FF867C}">
                  <a14:compatExt spid="_x0000_s1400"/>
                </a:ext>
                <a:ext uri="{FF2B5EF4-FFF2-40B4-BE49-F238E27FC236}">
                  <a16:creationId xmlns:a16="http://schemas.microsoft.com/office/drawing/2014/main" id="{00000000-0008-0000-0700-00007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96</xdr:row>
          <xdr:rowOff>85725</xdr:rowOff>
        </xdr:from>
        <xdr:to>
          <xdr:col>8</xdr:col>
          <xdr:colOff>314325</xdr:colOff>
          <xdr:row>98</xdr:row>
          <xdr:rowOff>28575</xdr:rowOff>
        </xdr:to>
        <xdr:sp macro="" textlink="">
          <xdr:nvSpPr>
            <xdr:cNvPr id="1401" name="Object 377" hidden="1">
              <a:extLst>
                <a:ext uri="{63B3BB69-23CF-44E3-9099-C40C66FF867C}">
                  <a14:compatExt spid="_x0000_s1401"/>
                </a:ext>
                <a:ext uri="{FF2B5EF4-FFF2-40B4-BE49-F238E27FC236}">
                  <a16:creationId xmlns:a16="http://schemas.microsoft.com/office/drawing/2014/main" id="{00000000-0008-0000-0700-00007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438150</xdr:colOff>
          <xdr:row>96</xdr:row>
          <xdr:rowOff>28575</xdr:rowOff>
        </xdr:from>
        <xdr:to>
          <xdr:col>14</xdr:col>
          <xdr:colOff>676275</xdr:colOff>
          <xdr:row>98</xdr:row>
          <xdr:rowOff>66675</xdr:rowOff>
        </xdr:to>
        <xdr:sp macro="" textlink="">
          <xdr:nvSpPr>
            <xdr:cNvPr id="1402" name="Object 378" hidden="1">
              <a:extLst>
                <a:ext uri="{63B3BB69-23CF-44E3-9099-C40C66FF867C}">
                  <a14:compatExt spid="_x0000_s1402"/>
                </a:ext>
                <a:ext uri="{FF2B5EF4-FFF2-40B4-BE49-F238E27FC236}">
                  <a16:creationId xmlns:a16="http://schemas.microsoft.com/office/drawing/2014/main" id="{00000000-0008-0000-0700-00007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</xdr:col>
      <xdr:colOff>465666</xdr:colOff>
      <xdr:row>107</xdr:row>
      <xdr:rowOff>52916</xdr:rowOff>
    </xdr:from>
    <xdr:to>
      <xdr:col>16</xdr:col>
      <xdr:colOff>21167</xdr:colOff>
      <xdr:row>133</xdr:row>
      <xdr:rowOff>169333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3407833" y="20775083"/>
          <a:ext cx="8244417" cy="513291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0</xdr:colOff>
      <xdr:row>54</xdr:row>
      <xdr:rowOff>0</xdr:rowOff>
    </xdr:from>
    <xdr:to>
      <xdr:col>38</xdr:col>
      <xdr:colOff>266771</xdr:colOff>
      <xdr:row>62</xdr:row>
      <xdr:rowOff>103657</xdr:rowOff>
    </xdr:to>
    <xdr:pic>
      <xdr:nvPicPr>
        <xdr:cNvPr id="162" name="Picture 16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2974300" y="10629900"/>
          <a:ext cx="5143571" cy="16276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</xdr:row>
          <xdr:rowOff>47625</xdr:rowOff>
        </xdr:from>
        <xdr:to>
          <xdr:col>7</xdr:col>
          <xdr:colOff>314325</xdr:colOff>
          <xdr:row>89</xdr:row>
          <xdr:rowOff>57150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8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92</xdr:row>
          <xdr:rowOff>19050</xdr:rowOff>
        </xdr:from>
        <xdr:to>
          <xdr:col>7</xdr:col>
          <xdr:colOff>295275</xdr:colOff>
          <xdr:row>93</xdr:row>
          <xdr:rowOff>85725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8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16</xdr:col>
      <xdr:colOff>153844</xdr:colOff>
      <xdr:row>50</xdr:row>
      <xdr:rowOff>136237</xdr:rowOff>
    </xdr:from>
    <xdr:to>
      <xdr:col>23</xdr:col>
      <xdr:colOff>458645</xdr:colOff>
      <xdr:row>64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147470</xdr:colOff>
      <xdr:row>23</xdr:row>
      <xdr:rowOff>130220</xdr:rowOff>
    </xdr:from>
    <xdr:to>
      <xdr:col>22</xdr:col>
      <xdr:colOff>452270</xdr:colOff>
      <xdr:row>38</xdr:row>
      <xdr:rowOff>15920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381000</xdr:colOff>
          <xdr:row>11</xdr:row>
          <xdr:rowOff>180975</xdr:rowOff>
        </xdr:from>
        <xdr:to>
          <xdr:col>22</xdr:col>
          <xdr:colOff>47625</xdr:colOff>
          <xdr:row>13</xdr:row>
          <xdr:rowOff>171450</xdr:rowOff>
        </xdr:to>
        <xdr:sp macro="" textlink="">
          <xdr:nvSpPr>
            <xdr:cNvPr id="6149" name="Object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8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79</xdr:row>
          <xdr:rowOff>133350</xdr:rowOff>
        </xdr:from>
        <xdr:to>
          <xdr:col>7</xdr:col>
          <xdr:colOff>228600</xdr:colOff>
          <xdr:row>81</xdr:row>
          <xdr:rowOff>19050</xdr:rowOff>
        </xdr:to>
        <xdr:sp macro="" textlink="">
          <xdr:nvSpPr>
            <xdr:cNvPr id="6156" name="Object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8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81</xdr:row>
          <xdr:rowOff>171450</xdr:rowOff>
        </xdr:from>
        <xdr:to>
          <xdr:col>6</xdr:col>
          <xdr:colOff>323850</xdr:colOff>
          <xdr:row>82</xdr:row>
          <xdr:rowOff>180975</xdr:rowOff>
        </xdr:to>
        <xdr:sp macro="" textlink="">
          <xdr:nvSpPr>
            <xdr:cNvPr id="6157" name="Object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8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7</xdr:col>
      <xdr:colOff>204337</xdr:colOff>
      <xdr:row>217</xdr:row>
      <xdr:rowOff>59141</xdr:rowOff>
    </xdr:from>
    <xdr:to>
      <xdr:col>8</xdr:col>
      <xdr:colOff>275968</xdr:colOff>
      <xdr:row>224</xdr:row>
      <xdr:rowOff>88449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5978868" y="17585141"/>
          <a:ext cx="708616" cy="136280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222249</xdr:colOff>
      <xdr:row>141</xdr:row>
      <xdr:rowOff>95250</xdr:rowOff>
    </xdr:from>
    <xdr:to>
      <xdr:col>15</xdr:col>
      <xdr:colOff>293685</xdr:colOff>
      <xdr:row>235</xdr:row>
      <xdr:rowOff>83344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222249" y="26384250"/>
          <a:ext cx="11406186" cy="1680765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309562</xdr:colOff>
      <xdr:row>5</xdr:row>
      <xdr:rowOff>11906</xdr:rowOff>
    </xdr:from>
    <xdr:to>
      <xdr:col>27</xdr:col>
      <xdr:colOff>511969</xdr:colOff>
      <xdr:row>79</xdr:row>
      <xdr:rowOff>11906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18240375" y="392906"/>
          <a:ext cx="1416844" cy="14097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523875</xdr:colOff>
      <xdr:row>38</xdr:row>
      <xdr:rowOff>150813</xdr:rowOff>
    </xdr:from>
    <xdr:to>
      <xdr:col>8</xdr:col>
      <xdr:colOff>150813</xdr:colOff>
      <xdr:row>41</xdr:row>
      <xdr:rowOff>55563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302375" y="6818313"/>
          <a:ext cx="865188" cy="476250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0</xdr:colOff>
      <xdr:row>65</xdr:row>
      <xdr:rowOff>0</xdr:rowOff>
    </xdr:from>
    <xdr:to>
      <xdr:col>23</xdr:col>
      <xdr:colOff>304800</xdr:colOff>
      <xdr:row>85</xdr:row>
      <xdr:rowOff>76200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87</xdr:row>
      <xdr:rowOff>0</xdr:rowOff>
    </xdr:from>
    <xdr:to>
      <xdr:col>23</xdr:col>
      <xdr:colOff>304801</xdr:colOff>
      <xdr:row>100</xdr:row>
      <xdr:rowOff>63788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590550</xdr:colOff>
      <xdr:row>471</xdr:row>
      <xdr:rowOff>123825</xdr:rowOff>
    </xdr:from>
    <xdr:to>
      <xdr:col>23</xdr:col>
      <xdr:colOff>285750</xdr:colOff>
      <xdr:row>486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112834</xdr:colOff>
      <xdr:row>448</xdr:row>
      <xdr:rowOff>164856</xdr:rowOff>
    </xdr:from>
    <xdr:to>
      <xdr:col>22</xdr:col>
      <xdr:colOff>417634</xdr:colOff>
      <xdr:row>463</xdr:row>
      <xdr:rowOff>50556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1085850</xdr:colOff>
          <xdr:row>35</xdr:row>
          <xdr:rowOff>9525</xdr:rowOff>
        </xdr:from>
        <xdr:to>
          <xdr:col>23</xdr:col>
          <xdr:colOff>438150</xdr:colOff>
          <xdr:row>37</xdr:row>
          <xdr:rowOff>28575</xdr:rowOff>
        </xdr:to>
        <xdr:sp macro="" textlink="">
          <xdr:nvSpPr>
            <xdr:cNvPr id="14362" name="Object 26" hidden="1">
              <a:extLst>
                <a:ext uri="{63B3BB69-23CF-44E3-9099-C40C66FF867C}">
                  <a14:compatExt spid="_x0000_s14362"/>
                </a:ext>
                <a:ext uri="{FF2B5EF4-FFF2-40B4-BE49-F238E27FC236}">
                  <a16:creationId xmlns:a16="http://schemas.microsoft.com/office/drawing/2014/main" id="{00000000-0008-0000-0900-00001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14</xdr:col>
      <xdr:colOff>575164</xdr:colOff>
      <xdr:row>65</xdr:row>
      <xdr:rowOff>57151</xdr:rowOff>
    </xdr:from>
    <xdr:to>
      <xdr:col>21</xdr:col>
      <xdr:colOff>268248</xdr:colOff>
      <xdr:row>79</xdr:row>
      <xdr:rowOff>140678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2495550</xdr:colOff>
          <xdr:row>75</xdr:row>
          <xdr:rowOff>161925</xdr:rowOff>
        </xdr:from>
        <xdr:to>
          <xdr:col>7</xdr:col>
          <xdr:colOff>257175</xdr:colOff>
          <xdr:row>77</xdr:row>
          <xdr:rowOff>66675</xdr:rowOff>
        </xdr:to>
        <xdr:sp macro="" textlink="">
          <xdr:nvSpPr>
            <xdr:cNvPr id="14363" name="Object 27" hidden="1">
              <a:extLst>
                <a:ext uri="{63B3BB69-23CF-44E3-9099-C40C66FF867C}">
                  <a14:compatExt spid="_x0000_s14363"/>
                </a:ext>
                <a:ext uri="{FF2B5EF4-FFF2-40B4-BE49-F238E27FC236}">
                  <a16:creationId xmlns:a16="http://schemas.microsoft.com/office/drawing/2014/main" id="{00000000-0008-0000-0900-00001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15</xdr:col>
      <xdr:colOff>35721</xdr:colOff>
      <xdr:row>419</xdr:row>
      <xdr:rowOff>53578</xdr:rowOff>
    </xdr:from>
    <xdr:to>
      <xdr:col>23</xdr:col>
      <xdr:colOff>446487</xdr:colOff>
      <xdr:row>425</xdr:row>
      <xdr:rowOff>166688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0828737" y="19823906"/>
          <a:ext cx="5905500" cy="1256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400"/>
            <a:t>Put "alternative"</a:t>
          </a:r>
          <a:r>
            <a:rPr lang="en-US" sz="2400" baseline="0"/>
            <a:t> presentation with constrained FA, foreign exchange intervention, reserve adequacy. </a:t>
          </a:r>
          <a:endParaRPr lang="en-US" sz="24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2457450</xdr:colOff>
          <xdr:row>279</xdr:row>
          <xdr:rowOff>152400</xdr:rowOff>
        </xdr:from>
        <xdr:to>
          <xdr:col>6</xdr:col>
          <xdr:colOff>590550</xdr:colOff>
          <xdr:row>281</xdr:row>
          <xdr:rowOff>0</xdr:rowOff>
        </xdr:to>
        <xdr:sp macro="" textlink="">
          <xdr:nvSpPr>
            <xdr:cNvPr id="14364" name="Object 28" hidden="1">
              <a:extLst>
                <a:ext uri="{63B3BB69-23CF-44E3-9099-C40C66FF867C}">
                  <a14:compatExt spid="_x0000_s14364"/>
                </a:ext>
                <a:ext uri="{FF2B5EF4-FFF2-40B4-BE49-F238E27FC236}">
                  <a16:creationId xmlns:a16="http://schemas.microsoft.com/office/drawing/2014/main" id="{00000000-0008-0000-0900-00001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2495550</xdr:colOff>
          <xdr:row>340</xdr:row>
          <xdr:rowOff>161925</xdr:rowOff>
        </xdr:from>
        <xdr:to>
          <xdr:col>7</xdr:col>
          <xdr:colOff>247650</xdr:colOff>
          <xdr:row>342</xdr:row>
          <xdr:rowOff>66675</xdr:rowOff>
        </xdr:to>
        <xdr:sp macro="" textlink="">
          <xdr:nvSpPr>
            <xdr:cNvPr id="14366" name="Object 30" hidden="1">
              <a:extLst>
                <a:ext uri="{63B3BB69-23CF-44E3-9099-C40C66FF867C}">
                  <a14:compatExt spid="_x0000_s14366"/>
                </a:ext>
                <a:ext uri="{FF2B5EF4-FFF2-40B4-BE49-F238E27FC236}">
                  <a16:creationId xmlns:a16="http://schemas.microsoft.com/office/drawing/2014/main" id="{00000000-0008-0000-0900-00001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2495550</xdr:colOff>
          <xdr:row>152</xdr:row>
          <xdr:rowOff>161925</xdr:rowOff>
        </xdr:from>
        <xdr:to>
          <xdr:col>7</xdr:col>
          <xdr:colOff>257175</xdr:colOff>
          <xdr:row>154</xdr:row>
          <xdr:rowOff>66675</xdr:rowOff>
        </xdr:to>
        <xdr:sp macro="" textlink="">
          <xdr:nvSpPr>
            <xdr:cNvPr id="14367" name="Object 31" hidden="1">
              <a:extLst>
                <a:ext uri="{63B3BB69-23CF-44E3-9099-C40C66FF867C}">
                  <a14:compatExt spid="_x0000_s14367"/>
                </a:ext>
                <a:ext uri="{FF2B5EF4-FFF2-40B4-BE49-F238E27FC236}">
                  <a16:creationId xmlns:a16="http://schemas.microsoft.com/office/drawing/2014/main" id="{00000000-0008-0000-0900-00001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14</xdr:col>
      <xdr:colOff>165855</xdr:colOff>
      <xdr:row>114</xdr:row>
      <xdr:rowOff>22646</xdr:rowOff>
    </xdr:from>
    <xdr:to>
      <xdr:col>14</xdr:col>
      <xdr:colOff>436951</xdr:colOff>
      <xdr:row>128</xdr:row>
      <xdr:rowOff>51954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0348946" y="8292078"/>
          <a:ext cx="271096" cy="2696308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29307</xdr:colOff>
      <xdr:row>118</xdr:row>
      <xdr:rowOff>117232</xdr:rowOff>
    </xdr:from>
    <xdr:to>
      <xdr:col>16</xdr:col>
      <xdr:colOff>1062404</xdr:colOff>
      <xdr:row>123</xdr:row>
      <xdr:rowOff>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10829192" y="4879732"/>
          <a:ext cx="1729154" cy="83527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rgbClr val="FF0000"/>
              </a:solidFill>
            </a:rPr>
            <a:t>Insert assumptions for exogenous</a:t>
          </a:r>
          <a:r>
            <a:rPr lang="en-US" sz="1100" baseline="0">
              <a:solidFill>
                <a:srgbClr val="FF0000"/>
              </a:solidFill>
            </a:rPr>
            <a:t> components of captial and financial account in this dashboard. 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65942</xdr:colOff>
      <xdr:row>303</xdr:row>
      <xdr:rowOff>168520</xdr:rowOff>
    </xdr:from>
    <xdr:to>
      <xdr:col>15</xdr:col>
      <xdr:colOff>73268</xdr:colOff>
      <xdr:row>305</xdr:row>
      <xdr:rowOff>21981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 rot="10800000">
          <a:off x="10257692" y="42166443"/>
          <a:ext cx="615461" cy="234461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153864</xdr:colOff>
      <xdr:row>303</xdr:row>
      <xdr:rowOff>153865</xdr:rowOff>
    </xdr:from>
    <xdr:to>
      <xdr:col>17</xdr:col>
      <xdr:colOff>175845</xdr:colOff>
      <xdr:row>306</xdr:row>
      <xdr:rowOff>58615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10953749" y="31483788"/>
          <a:ext cx="1868365" cy="476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Put assumptions for external</a:t>
          </a:r>
          <a:r>
            <a:rPr lang="en-US" sz="1100" baseline="0"/>
            <a:t> financial constraint.</a:t>
          </a:r>
          <a:endParaRPr lang="en-US" sz="1100"/>
        </a:p>
      </xdr:txBody>
    </xdr:sp>
    <xdr:clientData/>
  </xdr:twoCellAnchor>
  <xdr:twoCellAnchor>
    <xdr:from>
      <xdr:col>3</xdr:col>
      <xdr:colOff>579438</xdr:colOff>
      <xdr:row>108</xdr:row>
      <xdr:rowOff>103186</xdr:rowOff>
    </xdr:from>
    <xdr:to>
      <xdr:col>18</xdr:col>
      <xdr:colOff>539750</xdr:colOff>
      <xdr:row>197</xdr:row>
      <xdr:rowOff>63499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2413001" y="15533686"/>
          <a:ext cx="12231687" cy="16914813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15119</xdr:colOff>
      <xdr:row>81</xdr:row>
      <xdr:rowOff>188988</xdr:rowOff>
    </xdr:from>
    <xdr:to>
      <xdr:col>21</xdr:col>
      <xdr:colOff>311454</xdr:colOff>
      <xdr:row>96</xdr:row>
      <xdr:rowOff>82015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2701017</xdr:colOff>
      <xdr:row>53</xdr:row>
      <xdr:rowOff>122466</xdr:rowOff>
    </xdr:from>
    <xdr:to>
      <xdr:col>8</xdr:col>
      <xdr:colOff>319768</xdr:colOff>
      <xdr:row>57</xdr:row>
      <xdr:rowOff>13608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5150303" y="10300609"/>
          <a:ext cx="1598840" cy="4626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Enter programmed values</a:t>
          </a:r>
        </a:p>
      </xdr:txBody>
    </xdr:sp>
    <xdr:clientData/>
  </xdr:twoCellAnchor>
  <xdr:twoCellAnchor>
    <xdr:from>
      <xdr:col>8</xdr:col>
      <xdr:colOff>136071</xdr:colOff>
      <xdr:row>53</xdr:row>
      <xdr:rowOff>170090</xdr:rowOff>
    </xdr:from>
    <xdr:to>
      <xdr:col>8</xdr:col>
      <xdr:colOff>591911</xdr:colOff>
      <xdr:row>56</xdr:row>
      <xdr:rowOff>20411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6565446" y="10348233"/>
          <a:ext cx="455840" cy="231321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1.bin"/><Relationship Id="rId3" Type="http://schemas.openxmlformats.org/officeDocument/2006/relationships/vmlDrawing" Target="../drawings/vmlDrawing4.vml"/><Relationship Id="rId7" Type="http://schemas.openxmlformats.org/officeDocument/2006/relationships/image" Target="../media/image103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70.bin"/><Relationship Id="rId5" Type="http://schemas.openxmlformats.org/officeDocument/2006/relationships/image" Target="../media/image102.emf"/><Relationship Id="rId10" Type="http://schemas.openxmlformats.org/officeDocument/2006/relationships/oleObject" Target="../embeddings/oleObject73.bin"/><Relationship Id="rId4" Type="http://schemas.openxmlformats.org/officeDocument/2006/relationships/oleObject" Target="../embeddings/oleObject69.bin"/><Relationship Id="rId9" Type="http://schemas.openxmlformats.org/officeDocument/2006/relationships/oleObject" Target="../embeddings/oleObject7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vanctanner.com/simple-models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3.emf"/><Relationship Id="rId21" Type="http://schemas.openxmlformats.org/officeDocument/2006/relationships/oleObject" Target="../embeddings/oleObject20.bin"/><Relationship Id="rId42" Type="http://schemas.openxmlformats.org/officeDocument/2006/relationships/image" Target="../media/image31.emf"/><Relationship Id="rId47" Type="http://schemas.openxmlformats.org/officeDocument/2006/relationships/oleObject" Target="../embeddings/oleObject33.bin"/><Relationship Id="rId63" Type="http://schemas.openxmlformats.org/officeDocument/2006/relationships/oleObject" Target="../embeddings/oleObject41.bin"/><Relationship Id="rId68" Type="http://schemas.openxmlformats.org/officeDocument/2006/relationships/image" Target="../media/image43.emf"/><Relationship Id="rId84" Type="http://schemas.openxmlformats.org/officeDocument/2006/relationships/oleObject" Target="../embeddings/oleObject53.bin"/><Relationship Id="rId89" Type="http://schemas.openxmlformats.org/officeDocument/2006/relationships/image" Target="../media/image53.emf"/><Relationship Id="rId7" Type="http://schemas.openxmlformats.org/officeDocument/2006/relationships/oleObject" Target="../embeddings/oleObject13.bin"/><Relationship Id="rId71" Type="http://schemas.openxmlformats.org/officeDocument/2006/relationships/oleObject" Target="../embeddings/oleObject46.bin"/><Relationship Id="rId92" Type="http://schemas.openxmlformats.org/officeDocument/2006/relationships/oleObject" Target="../embeddings/oleObject57.bin"/><Relationship Id="rId2" Type="http://schemas.openxmlformats.org/officeDocument/2006/relationships/printerSettings" Target="../printerSettings/printerSettings3.bin"/><Relationship Id="rId16" Type="http://schemas.openxmlformats.org/officeDocument/2006/relationships/image" Target="../media/image18.emf"/><Relationship Id="rId29" Type="http://schemas.openxmlformats.org/officeDocument/2006/relationships/oleObject" Target="../embeddings/oleObject24.bin"/><Relationship Id="rId11" Type="http://schemas.openxmlformats.org/officeDocument/2006/relationships/oleObject" Target="../embeddings/oleObject15.bin"/><Relationship Id="rId24" Type="http://schemas.openxmlformats.org/officeDocument/2006/relationships/image" Target="../media/image22.emf"/><Relationship Id="rId32" Type="http://schemas.openxmlformats.org/officeDocument/2006/relationships/image" Target="../media/image26.emf"/><Relationship Id="rId37" Type="http://schemas.openxmlformats.org/officeDocument/2006/relationships/oleObject" Target="../embeddings/oleObject28.bin"/><Relationship Id="rId40" Type="http://schemas.openxmlformats.org/officeDocument/2006/relationships/image" Target="../media/image30.emf"/><Relationship Id="rId45" Type="http://schemas.openxmlformats.org/officeDocument/2006/relationships/oleObject" Target="../embeddings/oleObject32.bin"/><Relationship Id="rId53" Type="http://schemas.openxmlformats.org/officeDocument/2006/relationships/oleObject" Target="../embeddings/oleObject36.bin"/><Relationship Id="rId58" Type="http://schemas.openxmlformats.org/officeDocument/2006/relationships/image" Target="../media/image39.emf"/><Relationship Id="rId66" Type="http://schemas.openxmlformats.org/officeDocument/2006/relationships/oleObject" Target="../embeddings/oleObject43.bin"/><Relationship Id="rId74" Type="http://schemas.openxmlformats.org/officeDocument/2006/relationships/oleObject" Target="../embeddings/oleObject48.bin"/><Relationship Id="rId79" Type="http://schemas.openxmlformats.org/officeDocument/2006/relationships/image" Target="../media/image48.emf"/><Relationship Id="rId87" Type="http://schemas.openxmlformats.org/officeDocument/2006/relationships/image" Target="../media/image52.emf"/><Relationship Id="rId102" Type="http://schemas.openxmlformats.org/officeDocument/2006/relationships/oleObject" Target="../embeddings/oleObject62.bin"/><Relationship Id="rId5" Type="http://schemas.openxmlformats.org/officeDocument/2006/relationships/oleObject" Target="../embeddings/oleObject12.bin"/><Relationship Id="rId61" Type="http://schemas.openxmlformats.org/officeDocument/2006/relationships/oleObject" Target="../embeddings/oleObject40.bin"/><Relationship Id="rId82" Type="http://schemas.openxmlformats.org/officeDocument/2006/relationships/oleObject" Target="../embeddings/oleObject52.bin"/><Relationship Id="rId90" Type="http://schemas.openxmlformats.org/officeDocument/2006/relationships/oleObject" Target="../embeddings/oleObject56.bin"/><Relationship Id="rId95" Type="http://schemas.openxmlformats.org/officeDocument/2006/relationships/image" Target="../media/image56.emf"/><Relationship Id="rId19" Type="http://schemas.openxmlformats.org/officeDocument/2006/relationships/oleObject" Target="../embeddings/oleObject19.bin"/><Relationship Id="rId14" Type="http://schemas.openxmlformats.org/officeDocument/2006/relationships/image" Target="../media/image17.emf"/><Relationship Id="rId22" Type="http://schemas.openxmlformats.org/officeDocument/2006/relationships/image" Target="../media/image21.emf"/><Relationship Id="rId27" Type="http://schemas.openxmlformats.org/officeDocument/2006/relationships/oleObject" Target="../embeddings/oleObject23.bin"/><Relationship Id="rId30" Type="http://schemas.openxmlformats.org/officeDocument/2006/relationships/image" Target="../media/image25.emf"/><Relationship Id="rId35" Type="http://schemas.openxmlformats.org/officeDocument/2006/relationships/oleObject" Target="../embeddings/oleObject27.bin"/><Relationship Id="rId43" Type="http://schemas.openxmlformats.org/officeDocument/2006/relationships/oleObject" Target="../embeddings/oleObject31.bin"/><Relationship Id="rId48" Type="http://schemas.openxmlformats.org/officeDocument/2006/relationships/image" Target="../media/image34.emf"/><Relationship Id="rId56" Type="http://schemas.openxmlformats.org/officeDocument/2006/relationships/image" Target="../media/image38.emf"/><Relationship Id="rId64" Type="http://schemas.openxmlformats.org/officeDocument/2006/relationships/image" Target="../media/image42.emf"/><Relationship Id="rId69" Type="http://schemas.openxmlformats.org/officeDocument/2006/relationships/oleObject" Target="../embeddings/oleObject45.bin"/><Relationship Id="rId77" Type="http://schemas.openxmlformats.org/officeDocument/2006/relationships/image" Target="../media/image47.emf"/><Relationship Id="rId100" Type="http://schemas.openxmlformats.org/officeDocument/2006/relationships/oleObject" Target="../embeddings/oleObject61.bin"/><Relationship Id="rId105" Type="http://schemas.openxmlformats.org/officeDocument/2006/relationships/image" Target="../media/image61.emf"/><Relationship Id="rId8" Type="http://schemas.openxmlformats.org/officeDocument/2006/relationships/image" Target="../media/image14.emf"/><Relationship Id="rId51" Type="http://schemas.openxmlformats.org/officeDocument/2006/relationships/oleObject" Target="../embeddings/oleObject35.bin"/><Relationship Id="rId72" Type="http://schemas.openxmlformats.org/officeDocument/2006/relationships/image" Target="../media/image45.emf"/><Relationship Id="rId80" Type="http://schemas.openxmlformats.org/officeDocument/2006/relationships/oleObject" Target="../embeddings/oleObject51.bin"/><Relationship Id="rId85" Type="http://schemas.openxmlformats.org/officeDocument/2006/relationships/image" Target="../media/image51.emf"/><Relationship Id="rId93" Type="http://schemas.openxmlformats.org/officeDocument/2006/relationships/image" Target="../media/image55.emf"/><Relationship Id="rId98" Type="http://schemas.openxmlformats.org/officeDocument/2006/relationships/oleObject" Target="../embeddings/oleObject60.bin"/><Relationship Id="rId3" Type="http://schemas.openxmlformats.org/officeDocument/2006/relationships/drawing" Target="../drawings/drawing7.xml"/><Relationship Id="rId12" Type="http://schemas.openxmlformats.org/officeDocument/2006/relationships/image" Target="../media/image16.emf"/><Relationship Id="rId17" Type="http://schemas.openxmlformats.org/officeDocument/2006/relationships/oleObject" Target="../embeddings/oleObject18.bin"/><Relationship Id="rId25" Type="http://schemas.openxmlformats.org/officeDocument/2006/relationships/oleObject" Target="../embeddings/oleObject22.bin"/><Relationship Id="rId33" Type="http://schemas.openxmlformats.org/officeDocument/2006/relationships/oleObject" Target="../embeddings/oleObject26.bin"/><Relationship Id="rId38" Type="http://schemas.openxmlformats.org/officeDocument/2006/relationships/image" Target="../media/image29.emf"/><Relationship Id="rId46" Type="http://schemas.openxmlformats.org/officeDocument/2006/relationships/image" Target="../media/image33.emf"/><Relationship Id="rId59" Type="http://schemas.openxmlformats.org/officeDocument/2006/relationships/oleObject" Target="../embeddings/oleObject39.bin"/><Relationship Id="rId67" Type="http://schemas.openxmlformats.org/officeDocument/2006/relationships/oleObject" Target="../embeddings/oleObject44.bin"/><Relationship Id="rId103" Type="http://schemas.openxmlformats.org/officeDocument/2006/relationships/image" Target="../media/image60.emf"/><Relationship Id="rId20" Type="http://schemas.openxmlformats.org/officeDocument/2006/relationships/image" Target="../media/image20.emf"/><Relationship Id="rId41" Type="http://schemas.openxmlformats.org/officeDocument/2006/relationships/oleObject" Target="../embeddings/oleObject30.bin"/><Relationship Id="rId54" Type="http://schemas.openxmlformats.org/officeDocument/2006/relationships/image" Target="../media/image37.emf"/><Relationship Id="rId62" Type="http://schemas.openxmlformats.org/officeDocument/2006/relationships/image" Target="../media/image41.emf"/><Relationship Id="rId70" Type="http://schemas.openxmlformats.org/officeDocument/2006/relationships/image" Target="../media/image44.emf"/><Relationship Id="rId75" Type="http://schemas.openxmlformats.org/officeDocument/2006/relationships/image" Target="../media/image46.emf"/><Relationship Id="rId83" Type="http://schemas.openxmlformats.org/officeDocument/2006/relationships/image" Target="../media/image50.emf"/><Relationship Id="rId88" Type="http://schemas.openxmlformats.org/officeDocument/2006/relationships/oleObject" Target="../embeddings/oleObject55.bin"/><Relationship Id="rId91" Type="http://schemas.openxmlformats.org/officeDocument/2006/relationships/image" Target="../media/image54.emf"/><Relationship Id="rId96" Type="http://schemas.openxmlformats.org/officeDocument/2006/relationships/oleObject" Target="../embeddings/oleObject59.bin"/><Relationship Id="rId1" Type="http://schemas.openxmlformats.org/officeDocument/2006/relationships/hyperlink" Target="http://www.evanctanner.com/simple-models" TargetMode="External"/><Relationship Id="rId6" Type="http://schemas.openxmlformats.org/officeDocument/2006/relationships/image" Target="../media/image13.emf"/><Relationship Id="rId15" Type="http://schemas.openxmlformats.org/officeDocument/2006/relationships/oleObject" Target="../embeddings/oleObject17.bin"/><Relationship Id="rId23" Type="http://schemas.openxmlformats.org/officeDocument/2006/relationships/oleObject" Target="../embeddings/oleObject21.bin"/><Relationship Id="rId28" Type="http://schemas.openxmlformats.org/officeDocument/2006/relationships/image" Target="../media/image24.emf"/><Relationship Id="rId36" Type="http://schemas.openxmlformats.org/officeDocument/2006/relationships/image" Target="../media/image28.emf"/><Relationship Id="rId49" Type="http://schemas.openxmlformats.org/officeDocument/2006/relationships/oleObject" Target="../embeddings/oleObject34.bin"/><Relationship Id="rId57" Type="http://schemas.openxmlformats.org/officeDocument/2006/relationships/oleObject" Target="../embeddings/oleObject38.bin"/><Relationship Id="rId10" Type="http://schemas.openxmlformats.org/officeDocument/2006/relationships/image" Target="../media/image15.emf"/><Relationship Id="rId31" Type="http://schemas.openxmlformats.org/officeDocument/2006/relationships/oleObject" Target="../embeddings/oleObject25.bin"/><Relationship Id="rId44" Type="http://schemas.openxmlformats.org/officeDocument/2006/relationships/image" Target="../media/image32.emf"/><Relationship Id="rId52" Type="http://schemas.openxmlformats.org/officeDocument/2006/relationships/image" Target="../media/image36.emf"/><Relationship Id="rId60" Type="http://schemas.openxmlformats.org/officeDocument/2006/relationships/image" Target="../media/image40.emf"/><Relationship Id="rId65" Type="http://schemas.openxmlformats.org/officeDocument/2006/relationships/oleObject" Target="../embeddings/oleObject42.bin"/><Relationship Id="rId73" Type="http://schemas.openxmlformats.org/officeDocument/2006/relationships/oleObject" Target="../embeddings/oleObject47.bin"/><Relationship Id="rId78" Type="http://schemas.openxmlformats.org/officeDocument/2006/relationships/oleObject" Target="../embeddings/oleObject50.bin"/><Relationship Id="rId81" Type="http://schemas.openxmlformats.org/officeDocument/2006/relationships/image" Target="../media/image49.emf"/><Relationship Id="rId86" Type="http://schemas.openxmlformats.org/officeDocument/2006/relationships/oleObject" Target="../embeddings/oleObject54.bin"/><Relationship Id="rId94" Type="http://schemas.openxmlformats.org/officeDocument/2006/relationships/oleObject" Target="../embeddings/oleObject58.bin"/><Relationship Id="rId99" Type="http://schemas.openxmlformats.org/officeDocument/2006/relationships/image" Target="../media/image58.emf"/><Relationship Id="rId101" Type="http://schemas.openxmlformats.org/officeDocument/2006/relationships/image" Target="../media/image59.emf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14.bin"/><Relationship Id="rId13" Type="http://schemas.openxmlformats.org/officeDocument/2006/relationships/oleObject" Target="../embeddings/oleObject16.bin"/><Relationship Id="rId18" Type="http://schemas.openxmlformats.org/officeDocument/2006/relationships/image" Target="../media/image19.emf"/><Relationship Id="rId39" Type="http://schemas.openxmlformats.org/officeDocument/2006/relationships/oleObject" Target="../embeddings/oleObject29.bin"/><Relationship Id="rId34" Type="http://schemas.openxmlformats.org/officeDocument/2006/relationships/image" Target="../media/image27.emf"/><Relationship Id="rId50" Type="http://schemas.openxmlformats.org/officeDocument/2006/relationships/image" Target="../media/image35.emf"/><Relationship Id="rId55" Type="http://schemas.openxmlformats.org/officeDocument/2006/relationships/oleObject" Target="../embeddings/oleObject37.bin"/><Relationship Id="rId76" Type="http://schemas.openxmlformats.org/officeDocument/2006/relationships/oleObject" Target="../embeddings/oleObject49.bin"/><Relationship Id="rId97" Type="http://schemas.openxmlformats.org/officeDocument/2006/relationships/image" Target="../media/image57.emf"/><Relationship Id="rId104" Type="http://schemas.openxmlformats.org/officeDocument/2006/relationships/oleObject" Target="../embeddings/oleObject63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6.bin"/><Relationship Id="rId13" Type="http://schemas.openxmlformats.org/officeDocument/2006/relationships/image" Target="../media/image101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98.emf"/><Relationship Id="rId12" Type="http://schemas.openxmlformats.org/officeDocument/2006/relationships/oleObject" Target="../embeddings/oleObject68.bin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65.bin"/><Relationship Id="rId11" Type="http://schemas.openxmlformats.org/officeDocument/2006/relationships/image" Target="../media/image100.emf"/><Relationship Id="rId5" Type="http://schemas.openxmlformats.org/officeDocument/2006/relationships/image" Target="../media/image97.emf"/><Relationship Id="rId10" Type="http://schemas.openxmlformats.org/officeDocument/2006/relationships/oleObject" Target="../embeddings/oleObject67.bin"/><Relationship Id="rId4" Type="http://schemas.openxmlformats.org/officeDocument/2006/relationships/oleObject" Target="../embeddings/oleObject64.bin"/><Relationship Id="rId9" Type="http://schemas.openxmlformats.org/officeDocument/2006/relationships/image" Target="../media/image99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4"/>
  <sheetViews>
    <sheetView topLeftCell="A4" zoomScale="181" workbookViewId="0">
      <selection activeCell="C9" sqref="C9"/>
    </sheetView>
  </sheetViews>
  <sheetFormatPr defaultRowHeight="15"/>
  <cols>
    <col min="2" max="2" width="22.42578125" customWidth="1"/>
  </cols>
  <sheetData>
    <row r="2" spans="2:3">
      <c r="B2" t="s">
        <v>0</v>
      </c>
      <c r="C2" t="s">
        <v>13</v>
      </c>
    </row>
    <row r="3" spans="2:3">
      <c r="B3" t="s">
        <v>1</v>
      </c>
      <c r="C3">
        <v>0.41499999999999998</v>
      </c>
    </row>
    <row r="4" spans="2:3">
      <c r="B4" t="s">
        <v>8</v>
      </c>
      <c r="C4">
        <v>0.2</v>
      </c>
    </row>
    <row r="5" spans="2:3">
      <c r="B5" t="s">
        <v>2</v>
      </c>
      <c r="C5">
        <v>0.15</v>
      </c>
    </row>
    <row r="6" spans="2:3">
      <c r="B6" t="s">
        <v>3</v>
      </c>
      <c r="C6">
        <v>145</v>
      </c>
    </row>
    <row r="7" spans="2:3">
      <c r="B7" t="s">
        <v>4</v>
      </c>
      <c r="C7">
        <v>0.05</v>
      </c>
    </row>
    <row r="8" spans="2:3">
      <c r="B8" t="s">
        <v>5</v>
      </c>
      <c r="C8">
        <v>0.3</v>
      </c>
    </row>
    <row r="9" spans="2:3">
      <c r="B9" t="s">
        <v>6</v>
      </c>
      <c r="C9">
        <f>(((C4*(1-C5))*C3)/C7)^(1/(1-C8))</f>
        <v>1.6353473805634506</v>
      </c>
    </row>
    <row r="10" spans="2:3">
      <c r="B10" t="s">
        <v>7</v>
      </c>
      <c r="C10">
        <f>C3*C9^C8*C6^(1-C8)</f>
        <v>15.67071109977511</v>
      </c>
    </row>
    <row r="11" spans="2:3">
      <c r="B11" t="s">
        <v>9</v>
      </c>
      <c r="C11">
        <f>C9*C7</f>
        <v>8.176736902817254E-2</v>
      </c>
    </row>
    <row r="12" spans="2:3">
      <c r="B12" t="s">
        <v>10</v>
      </c>
    </row>
    <row r="13" spans="2:3">
      <c r="B13" t="s">
        <v>11</v>
      </c>
      <c r="C13">
        <f>C9/C10</f>
        <v>0.10435693505873639</v>
      </c>
    </row>
    <row r="14" spans="2:3">
      <c r="B14" t="s">
        <v>12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F2:W518"/>
  <sheetViews>
    <sheetView showGridLines="0" topLeftCell="D1" zoomScaleNormal="100" workbookViewId="0">
      <pane xSplit="1" ySplit="2" topLeftCell="E3" activePane="bottomRight" state="frozen"/>
      <selection activeCell="D1" sqref="D1"/>
      <selection pane="topRight" activeCell="E1" sqref="E1"/>
      <selection pane="bottomLeft" activeCell="D3" sqref="D3"/>
      <selection pane="bottomRight" activeCell="K81" sqref="K81"/>
    </sheetView>
  </sheetViews>
  <sheetFormatPr defaultRowHeight="15" outlineLevelRow="1"/>
  <cols>
    <col min="5" max="5" width="2.140625" customWidth="1"/>
    <col min="6" max="6" width="41.140625" customWidth="1"/>
    <col min="7" max="7" width="9" customWidth="1"/>
    <col min="8" max="8" width="9.5703125" customWidth="1"/>
    <col min="9" max="9" width="9.140625" customWidth="1"/>
    <col min="10" max="14" width="11.5703125" customWidth="1"/>
    <col min="16" max="16" width="10.42578125" customWidth="1"/>
    <col min="17" max="17" width="17.28515625" customWidth="1"/>
  </cols>
  <sheetData>
    <row r="2" spans="6:15">
      <c r="H2" t="s">
        <v>202</v>
      </c>
      <c r="J2" t="s">
        <v>21</v>
      </c>
      <c r="L2" t="s">
        <v>22</v>
      </c>
      <c r="N2" t="s">
        <v>23</v>
      </c>
    </row>
    <row r="3" spans="6:15" hidden="1" outlineLevel="1">
      <c r="F3" t="s">
        <v>107</v>
      </c>
      <c r="J3" s="37">
        <f>100*(1+'OPTIONAL FULL MODEL APPENDIX'!W74)/(1+'OPTIONAL FULL MODEL APPENDIX'!$C$31)</f>
        <v>100</v>
      </c>
      <c r="L3" s="37">
        <f>100*(1+'OPTIONAL FULL MODEL APPENDIX'!Y74)/(1+'OPTIONAL FULL MODEL APPENDIX'!$C$31)</f>
        <v>100</v>
      </c>
      <c r="N3" s="37">
        <f>100*(1+'OPTIONAL FULL MODEL APPENDIX'!AA74)/(1+'OPTIONAL FULL MODEL APPENDIX'!$C$31)</f>
        <v>100</v>
      </c>
    </row>
    <row r="4" spans="6:15" hidden="1" outlineLevel="1">
      <c r="F4" t="s">
        <v>108</v>
      </c>
      <c r="J4" s="37">
        <f>'OPTIONAL FULL MODEL APPENDIX'!W113*'External Sector Dashboard'!J3/100</f>
        <v>1239.9999993541767</v>
      </c>
      <c r="L4" s="37">
        <f>'OPTIONAL FULL MODEL APPENDIX'!Y113*'External Sector Dashboard'!L3/100</f>
        <v>1239.9999993541767</v>
      </c>
      <c r="N4" s="37">
        <f>'OPTIONAL FULL MODEL APPENDIX'!AA113*'External Sector Dashboard'!N3/100</f>
        <v>1239.9999993541767</v>
      </c>
    </row>
    <row r="5" spans="6:15" hidden="1" outlineLevel="1"/>
    <row r="6" spans="6:15" hidden="1" outlineLevel="1">
      <c r="F6" t="s">
        <v>173</v>
      </c>
      <c r="G6" t="s">
        <v>174</v>
      </c>
      <c r="H6" s="58">
        <f>'OPTIONAL FULL MODEL APPENDIX'!C56/(1+'OPTIONAL FULL MODEL APPENDIX'!C54)</f>
        <v>99.009900990099013</v>
      </c>
      <c r="J6" s="32">
        <f>$H6*(1+'OPTIONAL FULL MODEL APPENDIX'!$C$54)*(1+'OPTIONAL FULL MODEL APPENDIX'!W25)</f>
        <v>100</v>
      </c>
      <c r="L6" s="32">
        <f>$H6*(1+'OPTIONAL FULL MODEL APPENDIX'!C54)*(1+'OPTIONAL FULL MODEL APPENDIX'!Y25)</f>
        <v>100</v>
      </c>
      <c r="N6" s="32">
        <f>$H6*(1+'OPTIONAL FULL MODEL APPENDIX'!C54)*(1+'OPTIONAL FULL MODEL APPENDIX'!AA25)</f>
        <v>100</v>
      </c>
    </row>
    <row r="7" spans="6:15" hidden="1" outlineLevel="1">
      <c r="F7" t="s">
        <v>175</v>
      </c>
      <c r="G7" t="s">
        <v>176</v>
      </c>
      <c r="H7" s="58">
        <f>'OPTIONAL FULL MODEL APPENDIX'!C57/(1+'OPTIONAL FULL MODEL APPENDIX'!C54)</f>
        <v>99.009900990099013</v>
      </c>
      <c r="J7" s="32">
        <f>$H7*(1+'OPTIONAL FULL MODEL APPENDIX'!$C$54)*(1+'OPTIONAL FULL MODEL APPENDIX'!W26)</f>
        <v>100</v>
      </c>
      <c r="L7" s="32">
        <f>$H7*(1+'OPTIONAL FULL MODEL APPENDIX'!$C$54)*(1+'OPTIONAL FULL MODEL APPENDIX'!Y26)</f>
        <v>100</v>
      </c>
      <c r="N7" s="32">
        <f>$H7*(1+'OPTIONAL FULL MODEL APPENDIX'!$C$54)*(1+'OPTIONAL FULL MODEL APPENDIX'!AA26)</f>
        <v>100</v>
      </c>
    </row>
    <row r="8" spans="6:15" hidden="1" outlineLevel="1">
      <c r="F8" t="s">
        <v>177</v>
      </c>
      <c r="G8" t="s">
        <v>178</v>
      </c>
      <c r="H8" s="58">
        <f>100*(H6/H7)</f>
        <v>100</v>
      </c>
      <c r="J8" s="32">
        <f>100*(J6/J7)</f>
        <v>100</v>
      </c>
      <c r="L8" s="32">
        <f>100*(L6/L7)</f>
        <v>100</v>
      </c>
      <c r="N8" s="32">
        <f>100*(N6/N7)</f>
        <v>100</v>
      </c>
    </row>
    <row r="9" spans="6:15" hidden="1" outlineLevel="1"/>
    <row r="10" spans="6:15" ht="17.25" hidden="1" outlineLevel="1">
      <c r="F10" t="s">
        <v>208</v>
      </c>
      <c r="G10" t="s">
        <v>210</v>
      </c>
      <c r="H10" s="58">
        <f>(H6^'OPTIONAL FULL MODEL APPENDIX'!$I$26)*(H7^(1-'OPTIONAL FULL MODEL APPENDIX'!$I$26))</f>
        <v>99.00990099009897</v>
      </c>
      <c r="J10" s="32">
        <f>(J6^'OPTIONAL FULL MODEL APPENDIX'!$I$26)*(J7^(1-'OPTIONAL FULL MODEL APPENDIX'!$I$26))</f>
        <v>100.00000000000001</v>
      </c>
      <c r="L10" s="32">
        <f>(L6^'OPTIONAL FULL MODEL APPENDIX'!$I$26)*(L7^(1-'OPTIONAL FULL MODEL APPENDIX'!$I$26))</f>
        <v>100.00000000000001</v>
      </c>
      <c r="N10" s="32">
        <f>(N6^'OPTIONAL FULL MODEL APPENDIX'!$I$26)*(N7^(1-'OPTIONAL FULL MODEL APPENDIX'!$I$26))</f>
        <v>100.00000000000001</v>
      </c>
    </row>
    <row r="11" spans="6:15" hidden="1" outlineLevel="1"/>
    <row r="12" spans="6:15" ht="17.25" hidden="1" outlineLevel="1">
      <c r="F12" t="s">
        <v>196</v>
      </c>
      <c r="G12" s="56" t="s">
        <v>198</v>
      </c>
      <c r="J12" s="33">
        <f>J10/$H10-1</f>
        <v>1.0000000000000453E-2</v>
      </c>
      <c r="L12" s="33">
        <f>L10/$H10-1</f>
        <v>1.0000000000000453E-2</v>
      </c>
      <c r="N12" s="33">
        <f>N10/$H10-1</f>
        <v>1.0000000000000453E-2</v>
      </c>
    </row>
    <row r="13" spans="6:15" hidden="1" outlineLevel="1">
      <c r="F13" t="s">
        <v>197</v>
      </c>
      <c r="G13" s="57" t="s">
        <v>199</v>
      </c>
      <c r="J13" s="33">
        <f>'OPTIONAL FULL MODEL APPENDIX'!W74</f>
        <v>4.4999999999999998E-2</v>
      </c>
      <c r="L13" s="33">
        <f>'OPTIONAL FULL MODEL APPENDIX'!Y74</f>
        <v>4.4999999999999998E-2</v>
      </c>
      <c r="N13" s="33">
        <f>'OPTIONAL FULL MODEL APPENDIX'!AA74</f>
        <v>4.4999999999999998E-2</v>
      </c>
    </row>
    <row r="14" spans="6:15" ht="17.25" hidden="1" outlineLevel="1">
      <c r="F14" t="s">
        <v>211</v>
      </c>
      <c r="G14" t="s">
        <v>201</v>
      </c>
      <c r="H14" s="58">
        <f>'OPTIONAL FULL MODEL APPENDIX'!C61</f>
        <v>3</v>
      </c>
      <c r="J14" s="37">
        <f>$H14*(1+J13)/(1+J12)</f>
        <v>3.1039603960396023</v>
      </c>
      <c r="K14" s="51"/>
      <c r="L14" s="37">
        <f>$H14*(1+L13)/(1+L12)</f>
        <v>3.1039603960396023</v>
      </c>
      <c r="M14" s="51"/>
      <c r="N14" s="37">
        <f>$H14*(1+N13)/(1+N12)</f>
        <v>3.1039603960396023</v>
      </c>
    </row>
    <row r="15" spans="6:15" hidden="1" outlineLevel="1">
      <c r="F15" t="s">
        <v>200</v>
      </c>
      <c r="J15" s="37">
        <f>J14*(1+'OPTIONAL FULL MODEL APPENDIX'!W106)</f>
        <v>3.1039603960396023</v>
      </c>
      <c r="L15" s="37">
        <f>L14*(1+'OPTIONAL FULL MODEL APPENDIX'!Y106)</f>
        <v>3.1039603960396023</v>
      </c>
      <c r="N15" s="37">
        <f>N14*(1+'OPTIONAL FULL MODEL APPENDIX'!AA106)</f>
        <v>3.1039603960396023</v>
      </c>
    </row>
    <row r="16" spans="6:15" hidden="1" outlineLevel="1">
      <c r="I16" s="25"/>
      <c r="J16" s="67"/>
      <c r="K16" s="25"/>
      <c r="L16" s="68"/>
      <c r="M16" s="25"/>
      <c r="N16" s="68"/>
      <c r="O16" s="25"/>
    </row>
    <row r="17" spans="6:14" hidden="1" outlineLevel="1">
      <c r="F17" t="s">
        <v>212</v>
      </c>
      <c r="J17" s="33">
        <f>(J6/'OPTIONAL FULL MODEL APPENDIX'!$C$56)*(J15/'OPTIONAL FULL MODEL APPENDIX'!$C$62)-1</f>
        <v>0</v>
      </c>
      <c r="L17" s="33">
        <f>(L6/'OPTIONAL FULL MODEL APPENDIX'!$C$56)*(L15/'OPTIONAL FULL MODEL APPENDIX'!$C$62)-1</f>
        <v>0</v>
      </c>
      <c r="N17" s="33">
        <f>(N6/'OPTIONAL FULL MODEL APPENDIX'!$C$56)*(N15/'OPTIONAL FULL MODEL APPENDIX'!$C$62)-1</f>
        <v>0</v>
      </c>
    </row>
    <row r="18" spans="6:14" hidden="1" outlineLevel="1">
      <c r="F18" t="s">
        <v>215</v>
      </c>
      <c r="J18" s="37">
        <f>'OPTIONAL FULL MODEL APPENDIX'!W118*(1+'External Sector Dashboard'!J17)</f>
        <v>303.53699055411465</v>
      </c>
      <c r="L18" s="37">
        <f>'OPTIONAL FULL MODEL APPENDIX'!Y118*(1+'External Sector Dashboard'!L17)</f>
        <v>303.53699055411465</v>
      </c>
      <c r="N18" s="37">
        <f>'OPTIONAL FULL MODEL APPENDIX'!AA118*(1+'External Sector Dashboard'!N17)</f>
        <v>303.53699055411465</v>
      </c>
    </row>
    <row r="19" spans="6:14" hidden="1" outlineLevel="1">
      <c r="F19" t="s">
        <v>216</v>
      </c>
      <c r="J19" s="37">
        <f>J18/J15</f>
        <v>97.790226621899834</v>
      </c>
      <c r="L19" s="37">
        <f>L18/L15</f>
        <v>97.790226621899834</v>
      </c>
      <c r="N19" s="37">
        <f>N18/N15</f>
        <v>97.790226621899834</v>
      </c>
    </row>
    <row r="20" spans="6:14" hidden="1" outlineLevel="1">
      <c r="J20" s="37"/>
      <c r="L20" s="37"/>
      <c r="N20" s="37"/>
    </row>
    <row r="21" spans="6:14" hidden="1" outlineLevel="1">
      <c r="F21" t="s">
        <v>217</v>
      </c>
      <c r="J21" s="33">
        <f>(J7/'OPTIONAL FULL MODEL APPENDIX'!$C$57)*(J15/'OPTIONAL FULL MODEL APPENDIX'!$C$62)-1</f>
        <v>0</v>
      </c>
      <c r="K21" s="1"/>
      <c r="L21" s="33">
        <f>(L7/'OPTIONAL FULL MODEL APPENDIX'!$C$57)*(L15/'OPTIONAL FULL MODEL APPENDIX'!$C$62)-1</f>
        <v>0</v>
      </c>
      <c r="M21" s="1"/>
      <c r="N21" s="33">
        <f>(N7/'OPTIONAL FULL MODEL APPENDIX'!$C$57)*(N15/'OPTIONAL FULL MODEL APPENDIX'!$C$62)-1</f>
        <v>0</v>
      </c>
    </row>
    <row r="22" spans="6:14" hidden="1" outlineLevel="1">
      <c r="F22" t="s">
        <v>218</v>
      </c>
      <c r="J22" s="37">
        <f>'OPTIONAL FULL MODEL APPENDIX'!W119*(1+'External Sector Dashboard'!J21)</f>
        <v>321.51699054474994</v>
      </c>
      <c r="L22" s="37">
        <f>'OPTIONAL FULL MODEL APPENDIX'!Y119*(1+'External Sector Dashboard'!L21)</f>
        <v>321.51699054474994</v>
      </c>
      <c r="N22" s="37">
        <f>'OPTIONAL FULL MODEL APPENDIX'!AA119*(1+'External Sector Dashboard'!N21)</f>
        <v>321.51699054474994</v>
      </c>
    </row>
    <row r="23" spans="6:14" hidden="1" outlineLevel="1">
      <c r="F23" t="s">
        <v>219</v>
      </c>
      <c r="J23" s="37">
        <f>J22/J15</f>
        <v>103.58282629990354</v>
      </c>
      <c r="L23" s="37">
        <f>L22/L15</f>
        <v>103.58282629990354</v>
      </c>
      <c r="N23" s="37">
        <f>N22/N15</f>
        <v>103.58282629990354</v>
      </c>
    </row>
    <row r="24" spans="6:14" hidden="1" outlineLevel="1"/>
    <row r="25" spans="6:14" collapsed="1"/>
    <row r="26" spans="6:14">
      <c r="F26" s="81" t="s">
        <v>282</v>
      </c>
    </row>
    <row r="28" spans="6:14">
      <c r="F28" t="s">
        <v>179</v>
      </c>
      <c r="J28" s="62">
        <f>J29+J32+J35</f>
        <v>-3.4582670945771952</v>
      </c>
      <c r="K28" s="43"/>
      <c r="L28" s="62">
        <f>L29+L32+L35</f>
        <v>-3.4363315421056342</v>
      </c>
      <c r="M28" s="43"/>
      <c r="N28" s="62">
        <f>N29+N32+N35</f>
        <v>-3.4582670945771383</v>
      </c>
    </row>
    <row r="29" spans="6:14">
      <c r="F29" t="s">
        <v>180</v>
      </c>
      <c r="J29" s="62">
        <f>J30-J31</f>
        <v>-5.792599678003711</v>
      </c>
      <c r="K29" s="43"/>
      <c r="L29" s="62">
        <f>L30-L31</f>
        <v>-5.792599678003711</v>
      </c>
      <c r="M29" s="43"/>
      <c r="N29" s="62">
        <f>N30-N31</f>
        <v>-5.792599678003711</v>
      </c>
    </row>
    <row r="30" spans="6:14">
      <c r="F30" t="s">
        <v>181</v>
      </c>
      <c r="J30" s="37">
        <f>J19</f>
        <v>97.790226621899834</v>
      </c>
      <c r="L30" s="37">
        <f>L19</f>
        <v>97.790226621899834</v>
      </c>
      <c r="N30" s="37">
        <f>N19</f>
        <v>97.790226621899834</v>
      </c>
    </row>
    <row r="31" spans="6:14">
      <c r="F31" t="s">
        <v>182</v>
      </c>
      <c r="J31" s="37">
        <f>J23</f>
        <v>103.58282629990354</v>
      </c>
      <c r="L31" s="37">
        <f>L23</f>
        <v>103.58282629990354</v>
      </c>
      <c r="N31" s="37">
        <f>N23</f>
        <v>103.58282629990354</v>
      </c>
    </row>
    <row r="32" spans="6:14">
      <c r="F32" t="s">
        <v>220</v>
      </c>
      <c r="J32" s="62">
        <f>J33+J34</f>
        <v>-3.6656674165734833</v>
      </c>
      <c r="K32" s="43"/>
      <c r="L32" s="62">
        <f>L33+L34</f>
        <v>-3.6437318641019232</v>
      </c>
      <c r="M32" s="43"/>
      <c r="N32" s="62">
        <f>N33+N34</f>
        <v>-3.6656674165734278</v>
      </c>
    </row>
    <row r="33" spans="6:20">
      <c r="F33" t="s">
        <v>256</v>
      </c>
      <c r="J33" s="66">
        <f>IF($F$113='Fiscal and CB Dashboard'!$F$208,-($H68*J38+J38*0.5*(J68-$H68)),IF('External Sector Dashboard'!$F$113='Fiscal and CB Dashboard'!$F$210,-($H142*J38+J38*0.5*(J142-$H142)),"ERROR"))</f>
        <v>-3.6656674165734833</v>
      </c>
      <c r="K33" s="43"/>
      <c r="L33" s="66">
        <f>IF($F$113='Fiscal and CB Dashboard'!$F$208,-($H68*L38+L38*0.5*(L68-$H68)),IF('External Sector Dashboard'!$F$113='Fiscal and CB Dashboard'!$F$210,-($H142*L38+L38*0.5*(L142-$H142)),"ERROR"))</f>
        <v>-3.6437318641019232</v>
      </c>
      <c r="M33" s="43"/>
      <c r="N33" s="66">
        <f>IF($F$113='Fiscal and CB Dashboard'!$F$208,-($H68*N38+N38*0.5*(N68-$H68)),IF('External Sector Dashboard'!$F$113='Fiscal and CB Dashboard'!$F$210,-($H142*N38+N38*0.5*(N142-$H142)),"ERROR"))</f>
        <v>-3.6656674165734278</v>
      </c>
    </row>
    <row r="34" spans="6:20">
      <c r="F34" t="s">
        <v>183</v>
      </c>
      <c r="J34" s="61">
        <v>0</v>
      </c>
      <c r="L34" s="61">
        <v>0</v>
      </c>
      <c r="N34" s="61">
        <v>0</v>
      </c>
    </row>
    <row r="35" spans="6:20">
      <c r="F35" t="s">
        <v>221</v>
      </c>
      <c r="J35" s="61">
        <v>6</v>
      </c>
      <c r="L35" s="61">
        <v>6</v>
      </c>
      <c r="N35" s="61">
        <v>6</v>
      </c>
    </row>
    <row r="36" spans="6:20">
      <c r="P36" s="25"/>
      <c r="Q36" s="25"/>
      <c r="R36" s="25"/>
      <c r="S36" s="25"/>
      <c r="T36" s="25"/>
    </row>
    <row r="37" spans="6:20">
      <c r="F37" t="s">
        <v>184</v>
      </c>
      <c r="J37" s="37">
        <f>J29+J34+J35</f>
        <v>0.20740032199628899</v>
      </c>
      <c r="L37" s="37">
        <f>L29+L34+L35</f>
        <v>0.20740032199628899</v>
      </c>
      <c r="N37" s="37">
        <f>N29+N34+N35</f>
        <v>0.20740032199628899</v>
      </c>
      <c r="P37" s="25"/>
      <c r="Q37" s="25"/>
      <c r="R37" s="25"/>
      <c r="S37" s="25"/>
      <c r="T37" s="67"/>
    </row>
    <row r="38" spans="6:20">
      <c r="F38" t="s">
        <v>225</v>
      </c>
      <c r="J38" s="33">
        <f>(((1+'OPTIONAL FULL MODEL APPENDIX'!$C$35)*(1+'OPTIONAL FULL MODEL APPENDIX'!$C$36)*(1+'External Sector Dashboard'!J12)*(1+'OPTIONAL FULL MODEL APPENDIX'!W20)*(1+'OPTIONAL FULL MODEL APPENDIX'!W21))-1)-IF('OPTIONAL FULL MODEL APPENDIX'!$V$160="YES",'OPTIONAL FULL MODEL APPENDIX'!X155,0)</f>
        <v>3.0275750000000379E-2</v>
      </c>
      <c r="K38" s="1"/>
      <c r="L38" s="33">
        <f>(((1+'OPTIONAL FULL MODEL APPENDIX'!$C$35)*(1+'OPTIONAL FULL MODEL APPENDIX'!$C$36)*(1+'External Sector Dashboard'!L12)*(1+'OPTIONAL FULL MODEL APPENDIX'!Y20)*(1+'OPTIONAL FULL MODEL APPENDIX'!Y21))-1)-IF('OPTIONAL FULL MODEL APPENDIX'!$V$160="YES",'OPTIONAL FULL MODEL APPENDIX'!Y155,0)</f>
        <v>3.0275749999999928E-2</v>
      </c>
      <c r="M38" s="1"/>
      <c r="N38" s="33">
        <f>(((1+'OPTIONAL FULL MODEL APPENDIX'!$C$35)*(1+'OPTIONAL FULL MODEL APPENDIX'!$C$36)*(1+'External Sector Dashboard'!N12)*(1+'OPTIONAL FULL MODEL APPENDIX'!AA20)*(1+'OPTIONAL FULL MODEL APPENDIX'!AA21))-1)-IF('OPTIONAL FULL MODEL APPENDIX'!$V$160="YES",'OPTIONAL FULL MODEL APPENDIX'!AA155,0)</f>
        <v>3.0275749999999928E-2</v>
      </c>
    </row>
    <row r="40" spans="6:20">
      <c r="F40" s="81" t="s">
        <v>185</v>
      </c>
      <c r="J40" s="37">
        <f>-J28+J55</f>
        <v>3.4582670945771952</v>
      </c>
      <c r="L40" s="37">
        <f>-L28+L55</f>
        <v>2.0092161233209707</v>
      </c>
      <c r="N40" s="37">
        <f>-N28+N55</f>
        <v>3.4582670945771383</v>
      </c>
    </row>
    <row r="41" spans="6:20">
      <c r="F41" t="s">
        <v>186</v>
      </c>
      <c r="J41" s="61">
        <v>0</v>
      </c>
      <c r="L41" s="61">
        <v>0</v>
      </c>
      <c r="N41" s="61">
        <v>0</v>
      </c>
    </row>
    <row r="42" spans="6:20">
      <c r="F42" t="s">
        <v>392</v>
      </c>
      <c r="J42" s="37">
        <f>J40-J41</f>
        <v>3.4582670945771952</v>
      </c>
      <c r="L42" s="37">
        <f>L40-L41</f>
        <v>2.0092161233209707</v>
      </c>
      <c r="N42" s="37">
        <f>N40-N41</f>
        <v>3.4582670945771383</v>
      </c>
    </row>
    <row r="43" spans="6:20">
      <c r="F43" t="s">
        <v>187</v>
      </c>
      <c r="J43" s="61">
        <v>0.5</v>
      </c>
      <c r="L43" s="61">
        <f>J43</f>
        <v>0.5</v>
      </c>
      <c r="N43" s="61">
        <f>L43</f>
        <v>0.5</v>
      </c>
    </row>
    <row r="44" spans="6:20">
      <c r="F44" t="s">
        <v>188</v>
      </c>
      <c r="J44" s="61">
        <v>0.5</v>
      </c>
      <c r="L44" s="61">
        <f>J44</f>
        <v>0.5</v>
      </c>
      <c r="N44" s="61">
        <f>L44</f>
        <v>0.5</v>
      </c>
    </row>
    <row r="45" spans="6:20">
      <c r="F45" t="s">
        <v>193</v>
      </c>
      <c r="J45" s="37">
        <f>J46+J47+J48</f>
        <v>-3.7675453672271635</v>
      </c>
      <c r="L45" s="37">
        <f>L46+L47+L48</f>
        <v>-6.6437117572680533</v>
      </c>
      <c r="N45" s="37">
        <f>N46+N47+N48</f>
        <v>-1.2772831446573139</v>
      </c>
    </row>
    <row r="46" spans="6:20">
      <c r="F46" t="s">
        <v>189</v>
      </c>
      <c r="J46" s="64">
        <f>'Fiscal and CB Dashboard'!J42/'External Sector Dashboard'!J15/2</f>
        <v>6.2258124618043587</v>
      </c>
      <c r="L46" s="64">
        <f>'Fiscal and CB Dashboard'!L42/'External Sector Dashboard'!L15/2</f>
        <v>6.2258124618043587</v>
      </c>
      <c r="N46" s="64">
        <f>'Fiscal and CB Dashboard'!N42/'External Sector Dashboard'!N15/2</f>
        <v>3.7355502392344522</v>
      </c>
    </row>
    <row r="47" spans="6:20">
      <c r="F47" t="s">
        <v>190</v>
      </c>
      <c r="J47" s="61">
        <v>0</v>
      </c>
      <c r="L47" s="61">
        <v>0</v>
      </c>
      <c r="N47" s="61">
        <v>0</v>
      </c>
    </row>
    <row r="48" spans="6:20">
      <c r="F48" t="s">
        <v>272</v>
      </c>
      <c r="J48" s="63">
        <f>J42-J43-J44-J46-J49+J55</f>
        <v>-9.9933578290315221</v>
      </c>
      <c r="L48" s="63">
        <f>L42-L43-L44-L46-L49+L55</f>
        <v>-12.869524219072412</v>
      </c>
      <c r="N48" s="63">
        <f>N42-N43-N44-N46-N49+N55</f>
        <v>-5.012833383891766</v>
      </c>
    </row>
    <row r="49" spans="6:14">
      <c r="F49" t="s">
        <v>192</v>
      </c>
      <c r="J49" s="37">
        <f>J50+J51+J52</f>
        <v>6.2258124618043587</v>
      </c>
      <c r="L49" s="37">
        <f>L50+L51+L52</f>
        <v>6.2258124618043587</v>
      </c>
      <c r="N49" s="37">
        <f>N50+N51+N52</f>
        <v>3.7355502392344522</v>
      </c>
    </row>
    <row r="50" spans="6:14">
      <c r="F50" t="s">
        <v>189</v>
      </c>
      <c r="J50" s="64">
        <f>'Fiscal and CB Dashboard'!J42/'External Sector Dashboard'!J15/2</f>
        <v>6.2258124618043587</v>
      </c>
      <c r="L50" s="64">
        <f>'Fiscal and CB Dashboard'!L42/'External Sector Dashboard'!L15/2</f>
        <v>6.2258124618043587</v>
      </c>
      <c r="N50" s="64">
        <f>'Fiscal and CB Dashboard'!N42/'External Sector Dashboard'!N15/2</f>
        <v>3.7355502392344522</v>
      </c>
    </row>
    <row r="51" spans="6:14">
      <c r="F51" t="s">
        <v>190</v>
      </c>
      <c r="J51" s="61">
        <v>0</v>
      </c>
      <c r="L51" s="61">
        <v>0</v>
      </c>
      <c r="N51" s="61">
        <v>0</v>
      </c>
    </row>
    <row r="52" spans="6:14">
      <c r="F52" t="s">
        <v>191</v>
      </c>
      <c r="J52" s="61">
        <v>0</v>
      </c>
      <c r="L52" s="61">
        <v>0</v>
      </c>
      <c r="N52" s="61">
        <v>0</v>
      </c>
    </row>
    <row r="53" spans="6:14">
      <c r="F53" t="s">
        <v>195</v>
      </c>
      <c r="J53" s="61">
        <v>0</v>
      </c>
      <c r="L53" s="61">
        <v>0</v>
      </c>
      <c r="N53" s="61">
        <v>0</v>
      </c>
    </row>
    <row r="55" spans="6:14">
      <c r="F55" s="81" t="s">
        <v>393</v>
      </c>
      <c r="J55" s="170">
        <v>0</v>
      </c>
      <c r="L55" s="170">
        <v>-1.4271154187846637</v>
      </c>
      <c r="N55" s="170">
        <v>0</v>
      </c>
    </row>
    <row r="56" spans="6:14" ht="45" hidden="1">
      <c r="F56" s="81"/>
      <c r="J56" s="150" t="str">
        <f>IF(J55=0, "No FX Intervention","FX Intervention")</f>
        <v>No FX Intervention</v>
      </c>
      <c r="L56" s="150" t="str">
        <f>IF(L55=0, "No FX Intervention","FX Intervention")</f>
        <v>FX Intervention</v>
      </c>
      <c r="N56" s="150" t="str">
        <f>IF(N55=0, "No FX Intervention","FX Intervention")</f>
        <v>No FX Intervention</v>
      </c>
    </row>
    <row r="57" spans="6:14">
      <c r="F57" s="81"/>
      <c r="J57" s="168" t="str">
        <f>IF(J55&lt;0,"Fall in IR",IF(J55&gt;0,"Rise in IR",""))</f>
        <v/>
      </c>
      <c r="L57" s="168" t="str">
        <f>IF(L55&lt;0,"Fall in IR",IF(L55&gt;0,"Rise in IR",""))</f>
        <v>Fall in IR</v>
      </c>
      <c r="N57" s="168" t="str">
        <f>IF(N55&lt;0,"Fall in IR",IF(N55&gt;0,"Rise in IR",""))</f>
        <v/>
      </c>
    </row>
    <row r="58" spans="6:14" outlineLevel="1">
      <c r="F58" s="81"/>
      <c r="J58" s="150"/>
      <c r="L58" s="150"/>
      <c r="N58" s="150"/>
    </row>
    <row r="59" spans="6:14" outlineLevel="1">
      <c r="F59" s="81" t="s">
        <v>394</v>
      </c>
      <c r="J59" s="150">
        <f>'Fiscal and CB Dashboard'!J68-'Fiscal and CB Dashboard'!H68</f>
        <v>0</v>
      </c>
      <c r="L59" s="26">
        <f>'Fiscal and CB Dashboard'!L68-'Fiscal and CB Dashboard'!H68</f>
        <v>4.429709740485066</v>
      </c>
      <c r="N59" s="150">
        <f>'Fiscal and CB Dashboard'!N68-'Fiscal and CB Dashboard'!H68</f>
        <v>0</v>
      </c>
    </row>
    <row r="60" spans="6:14" ht="30" outlineLevel="1">
      <c r="F60" s="81"/>
      <c r="J60" s="167" t="str">
        <f>IF(J59&lt;0,"Contraction of NDA",IF(J59&gt;0,"Expansion of NDA",""))</f>
        <v/>
      </c>
      <c r="L60" s="150" t="str">
        <f>IF(L59&lt;0,"Contraction of NDA",IF(L59&gt;0,"Expansion of NDA",""))</f>
        <v>Expansion of NDA</v>
      </c>
      <c r="N60" s="167" t="str">
        <f>IF(N59&lt;0,"Contraction of NDA",IF(N59&gt;0,"Expansion of NDA",""))</f>
        <v/>
      </c>
    </row>
    <row r="62" spans="6:14">
      <c r="F62" s="81" t="s">
        <v>281</v>
      </c>
      <c r="H62" s="22"/>
      <c r="J62" s="26"/>
      <c r="N62" s="26"/>
    </row>
    <row r="63" spans="6:14">
      <c r="J63" s="80"/>
      <c r="L63" s="26"/>
      <c r="N63" s="26"/>
    </row>
    <row r="64" spans="6:14">
      <c r="F64" t="s">
        <v>255</v>
      </c>
      <c r="J64" s="37">
        <f>J37</f>
        <v>0.20740032199628899</v>
      </c>
      <c r="L64" s="37">
        <f>L37</f>
        <v>0.20740032199628899</v>
      </c>
      <c r="N64" s="37">
        <f>N37</f>
        <v>0.20740032199628899</v>
      </c>
    </row>
    <row r="65" spans="6:14">
      <c r="F65" t="s">
        <v>257</v>
      </c>
      <c r="J65" s="37">
        <f>J33</f>
        <v>-3.6656674165734833</v>
      </c>
      <c r="L65" s="37">
        <f>L33</f>
        <v>-3.6437318641019232</v>
      </c>
      <c r="N65" s="37">
        <f>N33</f>
        <v>-3.6656674165734278</v>
      </c>
    </row>
    <row r="66" spans="6:14">
      <c r="F66" t="s">
        <v>258</v>
      </c>
      <c r="J66" s="37">
        <f>J84</f>
        <v>1</v>
      </c>
      <c r="L66" s="37">
        <f>L84</f>
        <v>2.4271154187846635</v>
      </c>
      <c r="N66" s="37">
        <f>N84</f>
        <v>1</v>
      </c>
    </row>
    <row r="68" spans="6:14">
      <c r="F68" t="s">
        <v>115</v>
      </c>
      <c r="H68" s="58">
        <f>119.846889889734/3*3</f>
        <v>119.846889889734</v>
      </c>
      <c r="J68" s="37">
        <f>(1/(1-0.5*J38))*((1+J38)*$H68-J37-J84-J38*0.5*$H$68)</f>
        <v>122.30515698431121</v>
      </c>
      <c r="L68" s="37">
        <f>(1/(1-0.5*L38))*((1+L38)*$H68-L37-L84-L38*0.5*$H$68)</f>
        <v>120.85610601305498</v>
      </c>
      <c r="N68" s="37">
        <f>(1/(1-0.5*N38))*((1+N38)*$H68-N37-N84-N38*0.5*$H$68)</f>
        <v>122.30515698431115</v>
      </c>
    </row>
    <row r="70" spans="6:14">
      <c r="F70" t="s">
        <v>223</v>
      </c>
      <c r="J70" s="11">
        <f>J4/J15</f>
        <v>399.48963296577961</v>
      </c>
      <c r="K70" s="12"/>
      <c r="L70" s="11">
        <f>L4/L15</f>
        <v>399.48963296577961</v>
      </c>
      <c r="M70" s="12"/>
      <c r="N70" s="11">
        <f>N4/N15</f>
        <v>399.48963296577961</v>
      </c>
    </row>
    <row r="71" spans="6:14">
      <c r="F71" t="s">
        <v>224</v>
      </c>
      <c r="J71" s="33">
        <f>J68/J70</f>
        <v>0.30615351911970118</v>
      </c>
      <c r="K71" s="1"/>
      <c r="L71" s="33">
        <f>L68/L70</f>
        <v>0.30252626361247165</v>
      </c>
      <c r="M71" s="1"/>
      <c r="N71" s="33">
        <f>N68/N70</f>
        <v>0.30615351911970101</v>
      </c>
    </row>
    <row r="72" spans="6:14">
      <c r="F72" t="s">
        <v>255</v>
      </c>
      <c r="J72" s="33">
        <f>J64/J$70</f>
        <v>5.1916321446583062E-4</v>
      </c>
      <c r="K72" s="1"/>
      <c r="L72" s="33">
        <f>L64/L$70</f>
        <v>5.1916321446583062E-4</v>
      </c>
      <c r="M72" s="1"/>
      <c r="N72" s="33">
        <f>N64/N$70</f>
        <v>5.1916321446583062E-4</v>
      </c>
    </row>
    <row r="73" spans="6:14">
      <c r="F73" t="s">
        <v>257</v>
      </c>
      <c r="J73" s="33">
        <f>J65/J$70</f>
        <v>-9.1758762032442664E-3</v>
      </c>
      <c r="K73" s="1"/>
      <c r="L73" s="33">
        <f>L65/L$70</f>
        <v>-9.1209672627826279E-3</v>
      </c>
      <c r="M73" s="1"/>
      <c r="N73" s="33">
        <f>N65/N$70</f>
        <v>-9.1758762032441276E-3</v>
      </c>
    </row>
    <row r="74" spans="6:14">
      <c r="F74" t="s">
        <v>258</v>
      </c>
      <c r="J74" s="33">
        <f>J66/J$70</f>
        <v>2.5031938690775997E-3</v>
      </c>
      <c r="K74" s="1"/>
      <c r="L74" s="33">
        <f>L66/L$70</f>
        <v>6.0755404358454803E-3</v>
      </c>
      <c r="M74" s="1"/>
      <c r="N74" s="33">
        <f>N66/N$70</f>
        <v>2.5031938690775997E-3</v>
      </c>
    </row>
    <row r="75" spans="6:14">
      <c r="F75" t="s">
        <v>346</v>
      </c>
      <c r="J75" s="120">
        <f>'OPTIONAL FULL MODEL APPENDIX'!W80</f>
        <v>0.02</v>
      </c>
      <c r="L75" s="120">
        <f>J75</f>
        <v>0.02</v>
      </c>
      <c r="N75" s="120">
        <f>L75</f>
        <v>0.02</v>
      </c>
    </row>
    <row r="76" spans="6:14">
      <c r="F76" t="s">
        <v>342</v>
      </c>
      <c r="J76" s="120">
        <v>0.01</v>
      </c>
      <c r="L76" s="120">
        <v>0.01</v>
      </c>
      <c r="N76" s="120">
        <v>0.01</v>
      </c>
    </row>
    <row r="77" spans="6:14">
      <c r="F77" t="s">
        <v>344</v>
      </c>
      <c r="J77" s="120">
        <f>((J75-J76)/(1+J76))*J71-J74</f>
        <v>5.280290925036E-4</v>
      </c>
      <c r="L77" s="120">
        <f>((L75-L76)/(1+L76))*L71-L74</f>
        <v>-3.0802308951279394E-3</v>
      </c>
      <c r="N77" s="120">
        <f>((N75-N76)/(1+N76))*N71-N74</f>
        <v>5.2802909250359827E-4</v>
      </c>
    </row>
    <row r="78" spans="6:14">
      <c r="F78" t="s">
        <v>345</v>
      </c>
      <c r="J78" s="121">
        <f>J77-J72</f>
        <v>8.8658780377693812E-6</v>
      </c>
      <c r="L78" s="121">
        <f>L77-L72</f>
        <v>-3.5993941095937699E-3</v>
      </c>
      <c r="N78" s="121">
        <f>N77-N72</f>
        <v>8.8658780377676464E-6</v>
      </c>
    </row>
    <row r="79" spans="6:14">
      <c r="J79" s="14"/>
    </row>
    <row r="80" spans="6:14">
      <c r="F80" s="81" t="s">
        <v>347</v>
      </c>
      <c r="H80" s="58">
        <v>-250</v>
      </c>
      <c r="J80" s="32">
        <f>$H80+J28</f>
        <v>-253.4582670945772</v>
      </c>
      <c r="L80" s="32">
        <f>$H80+L28</f>
        <v>-253.43633154210562</v>
      </c>
      <c r="N80" s="32">
        <f>$H80+N28</f>
        <v>-253.45826709457714</v>
      </c>
    </row>
    <row r="81" spans="6:14">
      <c r="F81" t="s">
        <v>223</v>
      </c>
      <c r="J81" s="32">
        <f>J4/J15</f>
        <v>399.48963296577961</v>
      </c>
      <c r="L81" s="32">
        <f>L4/L15</f>
        <v>399.48963296577961</v>
      </c>
      <c r="N81" s="32">
        <f>N4/N15</f>
        <v>399.48963296577961</v>
      </c>
    </row>
    <row r="82" spans="6:14">
      <c r="F82" t="s">
        <v>348</v>
      </c>
      <c r="J82" s="33">
        <f>J80/J81</f>
        <v>-0.63445518025817826</v>
      </c>
      <c r="L82" s="33">
        <f>L80/L81</f>
        <v>-0.63440027131771659</v>
      </c>
      <c r="N82" s="33">
        <f>N80/N81</f>
        <v>-0.63445518025817815</v>
      </c>
    </row>
    <row r="83" spans="6:14">
      <c r="F83" t="s">
        <v>327</v>
      </c>
      <c r="J83" s="61">
        <f>J40-J84</f>
        <v>2.4582670945771952</v>
      </c>
      <c r="L83" s="61">
        <f>L40-L84</f>
        <v>-0.41789929546369287</v>
      </c>
      <c r="N83" s="61">
        <f>N40-N84</f>
        <v>2.4582670945771383</v>
      </c>
    </row>
    <row r="84" spans="6:14" hidden="1">
      <c r="F84" t="s">
        <v>226</v>
      </c>
      <c r="J84" s="61">
        <f>J43+J44-J55</f>
        <v>1</v>
      </c>
      <c r="L84" s="61">
        <f>L43+L44-L55</f>
        <v>2.4271154187846635</v>
      </c>
      <c r="N84" s="61">
        <f>N43+N44-N55</f>
        <v>1</v>
      </c>
    </row>
    <row r="85" spans="6:14">
      <c r="F85" s="25"/>
      <c r="G85" s="25"/>
      <c r="H85" s="25"/>
      <c r="I85" s="25"/>
      <c r="J85" s="67"/>
      <c r="K85" s="25"/>
      <c r="L85" s="67"/>
      <c r="M85" s="25"/>
      <c r="N85" s="67"/>
    </row>
    <row r="86" spans="6:14">
      <c r="F86" s="81" t="s">
        <v>283</v>
      </c>
    </row>
    <row r="87" spans="6:14">
      <c r="F87" t="s">
        <v>280</v>
      </c>
      <c r="H87" s="58">
        <f>'Fiscal and CB Dashboard'!H65/H14</f>
        <v>13.333333333333334</v>
      </c>
      <c r="J87" s="11">
        <f>$H87+J55</f>
        <v>13.333333333333334</v>
      </c>
      <c r="K87" s="12"/>
      <c r="L87" s="11">
        <f>$H87+L55</f>
        <v>11.90621791454867</v>
      </c>
      <c r="M87" s="12"/>
      <c r="N87" s="11">
        <f>$H87+N55</f>
        <v>13.333333333333334</v>
      </c>
    </row>
    <row r="89" spans="6:14">
      <c r="F89" t="s">
        <v>279</v>
      </c>
      <c r="H89" s="58">
        <f>0.1*H68</f>
        <v>11.984688988973401</v>
      </c>
      <c r="I89" s="51"/>
      <c r="J89" s="11">
        <f>0.1*J68</f>
        <v>12.230515698431121</v>
      </c>
      <c r="K89" s="12"/>
      <c r="L89" s="11">
        <f>0.1*L68</f>
        <v>12.085610601305499</v>
      </c>
      <c r="M89" s="12"/>
      <c r="N89" s="11">
        <f>0.1*N68</f>
        <v>12.230515698431116</v>
      </c>
    </row>
    <row r="90" spans="6:14">
      <c r="F90" t="s">
        <v>284</v>
      </c>
      <c r="H90" s="58">
        <f>H87/H89</f>
        <v>1.1125306084789319</v>
      </c>
      <c r="J90" s="11">
        <f>J87/J89</f>
        <v>1.0901693487089574</v>
      </c>
      <c r="K90" s="12"/>
      <c r="L90" s="11">
        <f>L87/L89</f>
        <v>0.98515650613983452</v>
      </c>
      <c r="M90" s="12"/>
      <c r="N90" s="11">
        <f>N87/N89</f>
        <v>1.0901693487089579</v>
      </c>
    </row>
    <row r="92" spans="6:14">
      <c r="F92" t="s">
        <v>270</v>
      </c>
      <c r="H92" s="58">
        <f>0.5*H68</f>
        <v>59.923444944867001</v>
      </c>
      <c r="J92" s="11">
        <f>$H92+J48</f>
        <v>49.930087115835477</v>
      </c>
      <c r="L92" s="11">
        <f>$H92+L48</f>
        <v>47.05392072579459</v>
      </c>
      <c r="N92" s="11">
        <f>$H92+N48</f>
        <v>54.910611560975234</v>
      </c>
    </row>
    <row r="93" spans="6:14">
      <c r="F93" t="s">
        <v>271</v>
      </c>
      <c r="H93" s="58">
        <f>H87/H92</f>
        <v>0.2225061216957864</v>
      </c>
      <c r="J93" s="33">
        <f>J87/J92</f>
        <v>0.26704005747878273</v>
      </c>
      <c r="L93" s="33">
        <f>L87/L92</f>
        <v>0.25303349287154669</v>
      </c>
      <c r="N93" s="33">
        <f>N87/N92</f>
        <v>0.24281888244000699</v>
      </c>
    </row>
    <row r="95" spans="6:14">
      <c r="F95" t="s">
        <v>228</v>
      </c>
      <c r="H95" s="26"/>
      <c r="J95" s="11">
        <f>(J87/(J30/12))</f>
        <v>1.6361553247916134</v>
      </c>
      <c r="K95" s="26"/>
      <c r="L95" s="11">
        <f>(L87/(L30/12))</f>
        <v>1.4610316379263577</v>
      </c>
      <c r="M95" s="26"/>
      <c r="N95" s="11">
        <f>(N87/(N30/12))</f>
        <v>1.6361553247916134</v>
      </c>
    </row>
    <row r="112" spans="6:6">
      <c r="F112" t="s">
        <v>374</v>
      </c>
    </row>
    <row r="113" spans="6:16">
      <c r="F113" s="3" t="str">
        <f>'Fiscal and CB Dashboard'!F142</f>
        <v xml:space="preserve">Mode A: No External Financing Constraint, No FX Intervention </v>
      </c>
      <c r="G113" s="3"/>
      <c r="H113" s="3"/>
      <c r="I113" s="3"/>
      <c r="J113" s="3"/>
      <c r="K113" s="3"/>
      <c r="L113" s="3"/>
      <c r="M113" s="3"/>
      <c r="N113" s="3"/>
    </row>
    <row r="114" spans="6:16">
      <c r="F114" t="str">
        <f>IF($F$113='Fiscal and CB Dashboard'!$F$208,"IGNORE NUMBERS TO RIGHT",IF('External Sector Dashboard'!$F$113='Fiscal and CB Dashboard'!$F$210,"Insert assumed financing constraint","ERROR"))</f>
        <v>IGNORE NUMBERS TO RIGHT</v>
      </c>
      <c r="J114" s="149">
        <v>4</v>
      </c>
      <c r="L114" s="149">
        <v>4</v>
      </c>
      <c r="N114" s="149">
        <v>4</v>
      </c>
      <c r="P114" t="str">
        <f>IF(F113='Fiscal and CB Dashboard'!F210,"Insert Assumed Limts on non-reserve external financing (Cap Acc.+Fin Acc) Below","")</f>
        <v/>
      </c>
    </row>
    <row r="115" spans="6:16">
      <c r="F115" s="81" t="s">
        <v>185</v>
      </c>
      <c r="J115" s="37">
        <f>IF($F$113=$F$183,J40,IF($F$113=$F$243,J245,IF($F$113=$F$303,J305,"ERROR")))</f>
        <v>3.4582670945771952</v>
      </c>
      <c r="L115" s="37">
        <f>IF($F$113=$F$183,L40,IF($F$113=$F$243,L245,IF($F$113=$F$303,L305,"ERROR")))</f>
        <v>2.0092161233209707</v>
      </c>
      <c r="N115" s="37">
        <f>IF($F$113=$F$183,N40,IF($F$113=$F$243,N245,IF($F$113=$F$303,N305,"ERROR")))</f>
        <v>3.4582670945771383</v>
      </c>
    </row>
    <row r="116" spans="6:16">
      <c r="F116" t="s">
        <v>186</v>
      </c>
      <c r="J116" s="61">
        <v>0</v>
      </c>
      <c r="L116" s="61">
        <v>0</v>
      </c>
      <c r="N116" s="61">
        <v>0</v>
      </c>
    </row>
    <row r="117" spans="6:16">
      <c r="F117" t="s">
        <v>194</v>
      </c>
      <c r="J117" s="37">
        <f>IF($F$113=$F$183,J42,IF($F$113=$F$243,J247,IF($F$113=$F$303,J307,"ERROR")))</f>
        <v>3.4582670945771952</v>
      </c>
      <c r="L117" s="37">
        <f>IF($F$113=$F$183,L42,IF($F$113=$F$243,L247,IF($F$113=$F$303,L307,"ERROR")))</f>
        <v>2.0092161233209707</v>
      </c>
      <c r="N117" s="37">
        <f>IF($F$113=$F$183,N42,IF($F$113=$F$243,N247,IF($F$113=$F$303,N307,"ERROR")))</f>
        <v>3.4582670945771383</v>
      </c>
    </row>
    <row r="118" spans="6:16">
      <c r="F118" t="s">
        <v>187</v>
      </c>
      <c r="J118" s="61">
        <v>0.5</v>
      </c>
      <c r="L118" s="61">
        <f>J118</f>
        <v>0.5</v>
      </c>
      <c r="N118" s="61">
        <f>L118</f>
        <v>0.5</v>
      </c>
    </row>
    <row r="119" spans="6:16">
      <c r="F119" t="s">
        <v>188</v>
      </c>
      <c r="J119" s="61">
        <v>0.5</v>
      </c>
      <c r="L119" s="61">
        <f>J119</f>
        <v>0.5</v>
      </c>
      <c r="N119" s="61">
        <f>L119</f>
        <v>0.5</v>
      </c>
    </row>
    <row r="120" spans="6:16">
      <c r="F120" t="s">
        <v>193</v>
      </c>
      <c r="J120" s="37">
        <f>IF($F$113=$F$183,J45,IF($F$113=$F$243,J250,IF($F$113=$F$303,J310,"ERROR")))</f>
        <v>-3.7675453672271635</v>
      </c>
      <c r="L120" s="37">
        <f>IF($F$113=$F$183,L45,IF($F$113=$F$243,L250,IF($F$113=$F$303,L310,"ERROR")))</f>
        <v>-6.6437117572680533</v>
      </c>
      <c r="N120" s="37">
        <f>IF($F$113=$F$183,N45,IF($F$113=$F$243,N250,IF($F$113=$F$303,N310,"ERROR")))</f>
        <v>-1.2772831446573139</v>
      </c>
    </row>
    <row r="121" spans="6:16">
      <c r="F121" t="s">
        <v>189</v>
      </c>
      <c r="J121" s="64">
        <f>('Fiscal and CB Dashboard'!J42/J15)/2</f>
        <v>6.2258124618043587</v>
      </c>
      <c r="L121" s="64">
        <f>('Fiscal and CB Dashboard'!L42/L15)/2</f>
        <v>6.2258124618043587</v>
      </c>
      <c r="N121" s="64">
        <f>('Fiscal and CB Dashboard'!N42/N15)/2</f>
        <v>3.7355502392344522</v>
      </c>
    </row>
    <row r="122" spans="6:16">
      <c r="F122" t="s">
        <v>190</v>
      </c>
      <c r="J122" s="61">
        <v>0</v>
      </c>
      <c r="L122" s="61">
        <v>0</v>
      </c>
      <c r="N122" s="61">
        <v>0</v>
      </c>
    </row>
    <row r="123" spans="6:16">
      <c r="F123" t="s">
        <v>272</v>
      </c>
      <c r="J123" s="63">
        <f>J117-J118-J119-J121-J124</f>
        <v>-9.9933578290315221</v>
      </c>
      <c r="L123" s="63">
        <f>L117-L118-L119-L121-L124</f>
        <v>-11.442408800287748</v>
      </c>
      <c r="N123" s="63">
        <f>N117-N118-N119-N121-N124</f>
        <v>-5.012833383891766</v>
      </c>
    </row>
    <row r="124" spans="6:16">
      <c r="F124" t="s">
        <v>192</v>
      </c>
      <c r="J124" s="37">
        <f>J125+J126+J127</f>
        <v>6.2258124618043587</v>
      </c>
      <c r="L124" s="37">
        <f>L125+L126+L127</f>
        <v>6.2258124618043587</v>
      </c>
      <c r="N124" s="37">
        <f>N125+N126+N127</f>
        <v>3.7355502392344522</v>
      </c>
    </row>
    <row r="125" spans="6:16">
      <c r="F125" t="s">
        <v>189</v>
      </c>
      <c r="J125" s="64">
        <f>('Fiscal and CB Dashboard'!J42/J15)/2</f>
        <v>6.2258124618043587</v>
      </c>
      <c r="L125" s="64">
        <f>('Fiscal and CB Dashboard'!L42/L15)/2</f>
        <v>6.2258124618043587</v>
      </c>
      <c r="N125" s="64">
        <f>('Fiscal and CB Dashboard'!N42/N15)/2</f>
        <v>3.7355502392344522</v>
      </c>
    </row>
    <row r="126" spans="6:16">
      <c r="F126" t="s">
        <v>190</v>
      </c>
      <c r="J126" s="61">
        <v>0</v>
      </c>
      <c r="L126" s="61">
        <v>0</v>
      </c>
      <c r="N126" s="61">
        <v>0</v>
      </c>
    </row>
    <row r="127" spans="6:16">
      <c r="F127" t="s">
        <v>191</v>
      </c>
      <c r="J127" s="61">
        <v>0</v>
      </c>
      <c r="L127" s="61">
        <v>0</v>
      </c>
      <c r="N127" s="61">
        <v>0</v>
      </c>
    </row>
    <row r="128" spans="6:16">
      <c r="F128" t="s">
        <v>195</v>
      </c>
      <c r="J128" s="61">
        <v>0</v>
      </c>
      <c r="L128" s="61">
        <v>0</v>
      </c>
      <c r="N128" s="61">
        <v>0</v>
      </c>
    </row>
    <row r="130" spans="6:14">
      <c r="F130" s="81" t="s">
        <v>222</v>
      </c>
      <c r="J130" s="37">
        <f>J28+J115</f>
        <v>0</v>
      </c>
      <c r="L130" s="37">
        <f>L28+L115</f>
        <v>-1.4271154187846635</v>
      </c>
      <c r="N130" s="37">
        <f>N28+N115</f>
        <v>0</v>
      </c>
    </row>
    <row r="131" spans="6:14">
      <c r="F131" s="81"/>
      <c r="J131" s="26"/>
      <c r="L131" s="26"/>
      <c r="N131" s="26"/>
    </row>
    <row r="132" spans="6:14">
      <c r="F132" s="81" t="s">
        <v>281</v>
      </c>
      <c r="H132" s="22"/>
      <c r="J132" s="26"/>
      <c r="L132" s="26"/>
      <c r="N132" s="26"/>
    </row>
    <row r="133" spans="6:14">
      <c r="J133" s="80"/>
      <c r="L133" s="26"/>
      <c r="N133" s="26"/>
    </row>
    <row r="134" spans="6:14">
      <c r="F134" t="s">
        <v>255</v>
      </c>
      <c r="J134" s="37">
        <f>IF($F$113=$F$183,J64,IF($F$113=$F$243,J264,IF($F$113=$F$303,J324,"ERROR")))</f>
        <v>0.20740032199628899</v>
      </c>
      <c r="L134" s="37">
        <f>IF($F$113=$F$183,L64,IF($F$113=$F$243,L264,IF($F$113=$F$303,L324,"ERROR")))</f>
        <v>0.20740032199628899</v>
      </c>
      <c r="N134" s="37">
        <f>IF($F$113=$F$183,N64,IF($F$113=$F$243,N264,IF($F$113=$F$303,N324,"ERROR")))</f>
        <v>0.20740032199628899</v>
      </c>
    </row>
    <row r="135" spans="6:14">
      <c r="F135" t="s">
        <v>257</v>
      </c>
      <c r="J135" s="37">
        <f>IF($F$113=$F$183,J65,IF($F$113=$F$243,J265,IF($F$113=$F$303,J325,"ERROR")))</f>
        <v>-3.6656674165734833</v>
      </c>
      <c r="L135" s="37">
        <f>IF($F$113=$F$183,L65,IF($F$113=$F$243,L265,IF($F$113=$F$303,L325,"ERROR")))</f>
        <v>-3.6437318641019232</v>
      </c>
      <c r="N135" s="37">
        <f>IF($F$113=$F$183,N65,IF($F$113=$F$243,N265,IF($F$113=$F$303,N325,"ERROR")))</f>
        <v>-3.6656674165734278</v>
      </c>
    </row>
    <row r="136" spans="6:14">
      <c r="F136" t="s">
        <v>258</v>
      </c>
      <c r="J136" s="37">
        <f>IF($F$113=$F$183,J66,IF($F$113=$F$243,J266,IF($F$113=$F$303,J326,"ERROR")))</f>
        <v>1</v>
      </c>
      <c r="L136" s="37">
        <f>IF($F$113=$F$183,L66,IF($F$113=$F$243,L266,IF($F$113=$F$303,L326,"ERROR")))</f>
        <v>2.4271154187846635</v>
      </c>
      <c r="N136" s="37">
        <f>IF($F$113=$F$183,N66,IF($F$113=$F$243,N266,IF($F$113=$F$303,N326,"ERROR")))</f>
        <v>1</v>
      </c>
    </row>
    <row r="141" spans="6:14">
      <c r="F141" t="str">
        <f>IF($F$113='Fiscal and CB Dashboard'!$F$208,"Debt",IF('External Sector Dashboard'!$F$113='Fiscal and CB Dashboard'!$F$210,"First Pass at Debt --(Hard paste below ↓)","ERROR"))</f>
        <v>Debt</v>
      </c>
      <c r="H141" s="58">
        <v>119.846889889734</v>
      </c>
      <c r="J141" s="37">
        <f>IF($F$113=$F$183,J68,IF($F$113=$F$243,J271,IF($F$113=$F$303,J331,"ERROR")))</f>
        <v>122.30515698431121</v>
      </c>
      <c r="K141" s="74"/>
      <c r="L141" s="37">
        <f>IF($F$113=$F$183,L68,IF($F$113=$F$243,L271,IF($F$113=$F$303,L331,"ERROR")))</f>
        <v>120.85610601305498</v>
      </c>
      <c r="M141" s="74"/>
      <c r="N141" s="37">
        <f>IF($F$113=$F$183,N68,IF($F$113=$F$243,N271,IF($F$113=$F$303,N331,"ERROR")))</f>
        <v>122.30515698431115</v>
      </c>
    </row>
    <row r="142" spans="6:14">
      <c r="F142" t="str">
        <f>IF($F$113='Fiscal and CB Dashboard'!$F$208,"IGNORE NUMBERS TO RIGHT",IF('External Sector Dashboard'!$F$113='Fiscal and CB Dashboard'!$F$210,"Debt -- final value (Hard paste from above)","ERROR"))</f>
        <v>IGNORE NUMBERS TO RIGHT</v>
      </c>
      <c r="H142">
        <v>119.846889889734</v>
      </c>
      <c r="J142">
        <v>122.84641738196576</v>
      </c>
      <c r="L142">
        <v>122.84489814891536</v>
      </c>
      <c r="N142">
        <v>122.84641888938415</v>
      </c>
    </row>
    <row r="143" spans="6:14">
      <c r="F143" t="str">
        <f>IF($F$113='Fiscal and CB Dashboard'!$F$208,"",IF('External Sector Dashboard'!$F$113='Fiscal and CB Dashboard'!$F$210,"Iteration gap","ERROR"))</f>
        <v/>
      </c>
      <c r="J143" s="26" t="str">
        <f>IF($F$113='Fiscal and CB Dashboard'!$F$210,J141-J142,"")</f>
        <v/>
      </c>
      <c r="L143" s="26" t="str">
        <f>IF($F$113='Fiscal and CB Dashboard'!$F$210,L141-L142,"")</f>
        <v/>
      </c>
      <c r="N143" s="26" t="str">
        <f>IF($F$113='Fiscal and CB Dashboard'!$F$210,N141-N142,"")</f>
        <v/>
      </c>
    </row>
    <row r="146" spans="6:14">
      <c r="F146" t="s">
        <v>223</v>
      </c>
      <c r="J146" s="11">
        <f>IF($F$113=$F$183,J70,IF($F$113=$F$243,J273,IF($F$113=$F$303,J334,"ERROR")))</f>
        <v>399.48963296577961</v>
      </c>
      <c r="K146" s="12"/>
      <c r="L146" s="11">
        <f>IF($F$113=$F$183,L70,IF($F$113=$F$243,L273,IF($F$113=$F$303,L334,"ERROR")))</f>
        <v>399.48963296577961</v>
      </c>
      <c r="M146" s="12"/>
      <c r="N146" s="11">
        <f>IF($F$113=$F$183,N70,IF($F$113=$F$243,N273,IF($F$113=$F$303,N334,"ERROR")))</f>
        <v>399.48963296577961</v>
      </c>
    </row>
    <row r="147" spans="6:14">
      <c r="F147" t="s">
        <v>224</v>
      </c>
      <c r="J147" s="33">
        <f>IF($F$113=$F$183,J71,IF($F$113=$F$243,J274,IF($F$113=$F$303,J335,"ERROR")))</f>
        <v>0.30615351911970118</v>
      </c>
      <c r="K147" s="1"/>
      <c r="L147" s="33">
        <f>IF($F$113=$F$183,L71,IF($F$113=$F$243,L274,IF($F$113=$F$303,L335,"ERROR")))</f>
        <v>0.30252626361247165</v>
      </c>
      <c r="M147" s="1"/>
      <c r="N147" s="33">
        <f>IF($F$113=$F$183,N71,IF($F$113=$F$243,N274,IF($F$113=$F$303,N335,"ERROR")))</f>
        <v>0.30615351911970101</v>
      </c>
    </row>
    <row r="148" spans="6:14">
      <c r="J148" s="33" t="e">
        <f>IF($F$113=$F$183,#REF!,IF($F$113=$F$243,J275,IF($F$113=$F$303,J336,"ERROR")))</f>
        <v>#REF!</v>
      </c>
      <c r="K148" s="1"/>
      <c r="L148" s="33" t="e">
        <f>IF($F$113=$F$183,#REF!,IF($F$113=$F$243,L275,IF($F$113=$F$303,L336,"ERROR")))</f>
        <v>#REF!</v>
      </c>
      <c r="M148" s="1"/>
      <c r="N148" s="33" t="e">
        <f>IF($F$113=$F$183,#REF!,IF($F$113=$F$243,N275,IF($F$113=$F$303,N336,"ERROR")))</f>
        <v>#REF!</v>
      </c>
    </row>
    <row r="149" spans="6:14">
      <c r="F149" t="s">
        <v>255</v>
      </c>
      <c r="J149" s="33">
        <f>IF($F$113=$F$183,J72,IF($F$113=$F$243,J276,IF($F$113=$F$303,J337,"ERROR")))</f>
        <v>5.1916321446583062E-4</v>
      </c>
      <c r="K149" s="1"/>
      <c r="L149" s="33">
        <f>IF($F$113=$F$183,L72,IF($F$113=$F$243,L276,IF($F$113=$F$303,L337,"ERROR")))</f>
        <v>5.1916321446583062E-4</v>
      </c>
      <c r="M149" s="1"/>
      <c r="N149" s="33">
        <f>IF($F$113=$F$183,N72,IF($F$113=$F$243,N276,IF($F$113=$F$303,N337,"ERROR")))</f>
        <v>5.1916321446583062E-4</v>
      </c>
    </row>
    <row r="150" spans="6:14">
      <c r="F150" t="s">
        <v>257</v>
      </c>
      <c r="J150" s="33">
        <f>IF($F$113=$F$183,J73,IF($F$113=$F$243,J277,IF($F$113=$F$303,J338,"ERROR")))</f>
        <v>-9.1758762032442664E-3</v>
      </c>
      <c r="K150" s="1"/>
      <c r="L150" s="33">
        <f>IF($F$113=$F$183,L73,IF($F$113=$F$243,L277,IF($F$113=$F$303,L338,"ERROR")))</f>
        <v>-9.1209672627826279E-3</v>
      </c>
      <c r="M150" s="1"/>
      <c r="N150" s="33">
        <f>IF($F$113=$F$183,N73,IF($F$113=$F$243,N277,IF($F$113=$F$303,N338,"ERROR")))</f>
        <v>-9.1758762032441276E-3</v>
      </c>
    </row>
    <row r="151" spans="6:14">
      <c r="F151" t="s">
        <v>258</v>
      </c>
      <c r="J151" s="33">
        <f>IF($F$113=$F$183,J74,IF($F$113=$F$243,J278,IF($F$113=$F$303,J339,"ERROR")))</f>
        <v>2.5031938690775997E-3</v>
      </c>
      <c r="K151" s="1"/>
      <c r="L151" s="33">
        <f>IF($F$113=$F$183,L74,IF($F$113=$F$243,L278,IF($F$113=$F$303,L339,"ERROR")))</f>
        <v>6.0755404358454803E-3</v>
      </c>
      <c r="M151" s="1"/>
      <c r="N151" s="33">
        <f>IF($F$113=$F$183,N74,IF($F$113=$F$243,N278,IF($F$113=$F$303,N339,"ERROR")))</f>
        <v>2.5031938690775997E-3</v>
      </c>
    </row>
    <row r="152" spans="6:14">
      <c r="F152" t="s">
        <v>346</v>
      </c>
      <c r="J152" s="120">
        <f>'OPTIONAL FULL MODEL APPENDIX'!W80</f>
        <v>0.02</v>
      </c>
      <c r="L152" s="120">
        <f>J152</f>
        <v>0.02</v>
      </c>
      <c r="N152" s="120">
        <f>L152</f>
        <v>0.02</v>
      </c>
    </row>
    <row r="153" spans="6:14">
      <c r="F153" t="s">
        <v>342</v>
      </c>
      <c r="J153" s="120">
        <v>0.01</v>
      </c>
      <c r="L153" s="120">
        <v>0.01</v>
      </c>
      <c r="N153" s="120">
        <v>0.01</v>
      </c>
    </row>
    <row r="154" spans="6:14">
      <c r="F154" t="s">
        <v>344</v>
      </c>
      <c r="J154" s="120">
        <f>((J152-J153)/(1+J153))*J147-J151</f>
        <v>5.280290925036E-4</v>
      </c>
      <c r="L154" s="120">
        <f>((L152-L153)/(1+L153))*L147-L151</f>
        <v>-3.0802308951279394E-3</v>
      </c>
      <c r="N154" s="120">
        <f>((N152-N153)/(1+N153))*N147-N151</f>
        <v>5.2802909250359827E-4</v>
      </c>
    </row>
    <row r="155" spans="6:14">
      <c r="F155" t="s">
        <v>345</v>
      </c>
      <c r="J155" s="121">
        <f>J77-J72</f>
        <v>8.8658780377693812E-6</v>
      </c>
      <c r="L155" s="121">
        <f>L77-L72</f>
        <v>-3.5993941095937699E-3</v>
      </c>
      <c r="N155" s="121">
        <f>N154-N149</f>
        <v>8.8658780377676464E-6</v>
      </c>
    </row>
    <row r="156" spans="6:14">
      <c r="J156" s="14"/>
    </row>
    <row r="157" spans="6:14">
      <c r="F157" s="81" t="s">
        <v>347</v>
      </c>
      <c r="H157" s="58">
        <v>-250</v>
      </c>
      <c r="J157" s="11">
        <f>IF($F$113=$F$183,J80,IF($F$113=$F$243,J284,IF($F$113=$F$303,J345,"ERROR")))</f>
        <v>-253.4582670945772</v>
      </c>
      <c r="L157" s="11">
        <f>IF($F$113=$F$183,L80,IF($F$113=$F$243,L284,IF($F$113=$F$303,L345,"ERROR")))</f>
        <v>-253.43633154210562</v>
      </c>
      <c r="N157" s="11">
        <f>IF($F$113=$F$183,N80,IF($F$113=$F$243,N284,IF($F$113=$F$303,N345,"ERROR")))</f>
        <v>-253.45826709457714</v>
      </c>
    </row>
    <row r="158" spans="6:14">
      <c r="F158" t="s">
        <v>223</v>
      </c>
      <c r="J158" s="11">
        <f>IF($F$113=$F$183,J81,IF($F$113=$F$243,J285,IF($F$113=$F$303,J346,"ERROR")))</f>
        <v>399.48963296577961</v>
      </c>
      <c r="L158" s="11">
        <f>IF($F$113=$F$183,L81,IF($F$113=$F$243,L285,IF($F$113=$F$303,L346,"ERROR")))</f>
        <v>399.48963296577961</v>
      </c>
      <c r="N158" s="11">
        <f>IF($F$113=$F$183,N81,IF($F$113=$F$243,N285,IF($F$113=$F$303,N346,"ERROR")))</f>
        <v>399.48963296577961</v>
      </c>
    </row>
    <row r="159" spans="6:14">
      <c r="F159" t="s">
        <v>348</v>
      </c>
      <c r="J159" s="11">
        <f>IF($F$113=$F$183,J82,IF($F$113=$F$243,J286,IF($F$113=$F$303,J347,"ERROR")))</f>
        <v>-0.63445518025817826</v>
      </c>
      <c r="L159" s="11">
        <f>IF($F$113=$F$183,L82,IF($F$113=$F$243,L286,IF($F$113=$F$303,L347,"ERROR")))</f>
        <v>-0.63440027131771659</v>
      </c>
      <c r="N159" s="11">
        <f>IF($F$113=$F$183,N82,IF($F$113=$F$243,N286,IF($F$113=$F$303,N347,"ERROR")))</f>
        <v>-0.63445518025817815</v>
      </c>
    </row>
    <row r="161" spans="6:14">
      <c r="F161" t="s">
        <v>327</v>
      </c>
      <c r="J161" s="61">
        <f>J115-J162</f>
        <v>2.4582670945771952</v>
      </c>
      <c r="L161" s="61">
        <f>L115-L162</f>
        <v>-0.41789929546369287</v>
      </c>
      <c r="N161" s="61">
        <f>N115-N162</f>
        <v>2.4582670945771383</v>
      </c>
    </row>
    <row r="162" spans="6:14">
      <c r="F162" t="s">
        <v>226</v>
      </c>
      <c r="J162" s="61">
        <f>J118+J119-J130</f>
        <v>1</v>
      </c>
      <c r="L162" s="61">
        <f>L118+L119-L130</f>
        <v>2.4271154187846635</v>
      </c>
      <c r="N162" s="61">
        <f>N118+N119-N130</f>
        <v>1</v>
      </c>
    </row>
    <row r="163" spans="6:14">
      <c r="F163" s="25"/>
      <c r="G163" s="25"/>
      <c r="H163" s="25"/>
      <c r="I163" s="25"/>
      <c r="J163" s="67"/>
      <c r="K163" s="25"/>
      <c r="L163" s="67"/>
      <c r="M163" s="25"/>
      <c r="N163" s="67"/>
    </row>
    <row r="164" spans="6:14">
      <c r="F164" s="81" t="s">
        <v>283</v>
      </c>
    </row>
    <row r="165" spans="6:14">
      <c r="F165" t="s">
        <v>280</v>
      </c>
      <c r="H165" s="58">
        <f>'Fiscal and CB Dashboard'!H146/'External Sector Dashboard'!H14</f>
        <v>13.333333333333334</v>
      </c>
      <c r="J165" s="32">
        <f>IF($F$113=$F$183,J87,IF($F$113=$F$243,J292,IF($F$113=$F$303,J353,"ERROR")))</f>
        <v>13.333333333333334</v>
      </c>
      <c r="K165" s="12"/>
      <c r="L165" s="32">
        <f>IF($F$113=$F$183,L87,IF($F$113=$F$243,L292,IF($F$113=$F$303,L353,"ERROR")))</f>
        <v>11.90621791454867</v>
      </c>
      <c r="M165" s="12"/>
      <c r="N165" s="32">
        <f>IF($F$113=$F$183,N87,IF($F$113=$F$243,N292,IF($F$113=$F$303,N353,"ERROR")))</f>
        <v>13.333333333333334</v>
      </c>
    </row>
    <row r="167" spans="6:14">
      <c r="F167" t="s">
        <v>279</v>
      </c>
      <c r="H167" s="58">
        <f>0.1*H141</f>
        <v>11.984688988973401</v>
      </c>
      <c r="I167" s="51"/>
      <c r="J167" s="11">
        <f>IF($F$113=$F$183,J89,IF($F$113=$F$243,J294,IF($F$113=$F$303,J355,"ERROR")))</f>
        <v>12.230515698431121</v>
      </c>
      <c r="K167" s="12"/>
      <c r="L167" s="11">
        <f>0.1*L141</f>
        <v>12.085610601305499</v>
      </c>
      <c r="M167" s="12"/>
      <c r="N167" s="11">
        <f>0.1*N141</f>
        <v>12.230515698431116</v>
      </c>
    </row>
    <row r="168" spans="6:14">
      <c r="F168" t="s">
        <v>284</v>
      </c>
      <c r="H168" s="58">
        <f>H165/H167</f>
        <v>1.1125306084789319</v>
      </c>
      <c r="J168" s="11">
        <f>IF($F$113=$F$183,J90,IF($F$113=$F$243,J295,IF($F$113=$F$303,J356,"ERROR")))</f>
        <v>1.0901693487089574</v>
      </c>
      <c r="K168" s="12"/>
      <c r="L168" s="11">
        <f>L165/L167</f>
        <v>0.98515650613983452</v>
      </c>
      <c r="M168" s="12"/>
      <c r="N168" s="11">
        <f>N165/N167</f>
        <v>1.0901693487089579</v>
      </c>
    </row>
    <row r="170" spans="6:14">
      <c r="F170" t="s">
        <v>270</v>
      </c>
      <c r="H170" s="58">
        <f>0.5*H141</f>
        <v>59.923444944867001</v>
      </c>
      <c r="J170" s="11">
        <f>$H170+J123</f>
        <v>49.930087115835477</v>
      </c>
      <c r="L170" s="11">
        <f>$H170+L123</f>
        <v>48.481036144579249</v>
      </c>
      <c r="N170" s="11">
        <f>$H170+N123</f>
        <v>54.910611560975234</v>
      </c>
    </row>
    <row r="171" spans="6:14">
      <c r="F171" t="s">
        <v>271</v>
      </c>
      <c r="H171" s="58">
        <f>H165/H170</f>
        <v>0.2225061216957864</v>
      </c>
      <c r="J171" s="33">
        <f>J165/J170</f>
        <v>0.26704005747878273</v>
      </c>
      <c r="L171" s="33">
        <f>L165/L170</f>
        <v>0.24558505472206013</v>
      </c>
      <c r="N171" s="33">
        <f>N165/N170</f>
        <v>0.24281888244000699</v>
      </c>
    </row>
    <row r="173" spans="6:14">
      <c r="F173" t="s">
        <v>228</v>
      </c>
      <c r="H173" s="26"/>
      <c r="J173" s="11">
        <f>IF($F$113=$F$183,J95,IF($F$113=$F$243,J300,IF($F$113=$F$303,J361,"ERROR")))</f>
        <v>1.6361553247916134</v>
      </c>
      <c r="K173" s="26"/>
      <c r="L173" s="11">
        <f>IF($F$113=$F$183,L95,IF($F$113=$F$243,L300,IF($F$113=$F$303,L361,"ERROR")))</f>
        <v>1.4610316379263577</v>
      </c>
      <c r="M173" s="26"/>
      <c r="N173" s="11">
        <f>IF($F$113=$F$183,N95,IF($F$113=$F$243,N300,IF($F$113=$F$303,N361,"ERROR")))</f>
        <v>1.6361553247916134</v>
      </c>
    </row>
    <row r="178" spans="6:14">
      <c r="F178" s="93" t="s">
        <v>363</v>
      </c>
      <c r="J178" s="138" t="s">
        <v>343</v>
      </c>
      <c r="L178" s="138" t="s">
        <v>343</v>
      </c>
      <c r="N178" s="138" t="s">
        <v>343</v>
      </c>
    </row>
    <row r="179" spans="6:14">
      <c r="F179" s="93"/>
      <c r="J179" s="139" t="str">
        <f>IF(J178="Y","Enter constraint below","")</f>
        <v/>
      </c>
      <c r="L179" s="139" t="str">
        <f>IF(L178="Y","Enter constraint below","")</f>
        <v/>
      </c>
      <c r="N179" s="139" t="str">
        <f>IF(N178="Y","Enter constraint below","")</f>
        <v/>
      </c>
    </row>
    <row r="180" spans="6:14">
      <c r="F180" s="93"/>
      <c r="J180" s="61">
        <f>J40</f>
        <v>3.4582670945771952</v>
      </c>
      <c r="L180" s="61"/>
      <c r="N180" s="61">
        <v>10</v>
      </c>
    </row>
    <row r="181" spans="6:14">
      <c r="F181" s="93"/>
    </row>
    <row r="182" spans="6:14">
      <c r="F182" s="93"/>
    </row>
    <row r="183" spans="6:14">
      <c r="F183" s="3" t="str">
        <f>'Fiscal and CB Dashboard'!F161</f>
        <v xml:space="preserve">Mode A: No External Financing Constraint, No FX Intervention </v>
      </c>
      <c r="G183" s="3"/>
      <c r="H183" s="3"/>
      <c r="I183" s="3"/>
      <c r="J183" s="3"/>
      <c r="K183" s="3"/>
      <c r="L183" s="3"/>
      <c r="M183" s="3"/>
      <c r="N183" s="3"/>
    </row>
    <row r="184" spans="6:14">
      <c r="F184" s="93"/>
      <c r="J184" s="26"/>
    </row>
    <row r="186" spans="6:14" outlineLevel="1"/>
    <row r="187" spans="6:14" outlineLevel="1"/>
    <row r="188" spans="6:14" outlineLevel="1"/>
    <row r="189" spans="6:14" outlineLevel="1"/>
    <row r="190" spans="6:14" outlineLevel="1"/>
    <row r="191" spans="6:14" outlineLevel="1"/>
    <row r="192" spans="6:14" outlineLevel="1"/>
    <row r="193" outlineLevel="1"/>
    <row r="194" outlineLevel="1"/>
    <row r="195" outlineLevel="1"/>
    <row r="196" outlineLevel="1"/>
    <row r="197" outlineLevel="1"/>
    <row r="198" outlineLevel="1"/>
    <row r="211" spans="16:16">
      <c r="P211" s="80"/>
    </row>
    <row r="229" spans="15:15">
      <c r="O229" s="14"/>
    </row>
    <row r="230" spans="15:15">
      <c r="O230" s="14"/>
    </row>
    <row r="231" spans="15:15">
      <c r="O231" s="14"/>
    </row>
    <row r="232" spans="15:15">
      <c r="O232" s="14"/>
    </row>
    <row r="233" spans="15:15">
      <c r="O233" s="14"/>
    </row>
    <row r="234" spans="15:15">
      <c r="O234" s="14"/>
    </row>
    <row r="235" spans="15:15">
      <c r="O235" s="14"/>
    </row>
    <row r="236" spans="15:15">
      <c r="O236" s="14"/>
    </row>
    <row r="237" spans="15:15">
      <c r="O237" s="14"/>
    </row>
    <row r="238" spans="15:15">
      <c r="O238" s="14"/>
    </row>
    <row r="239" spans="15:15">
      <c r="O239" s="14"/>
    </row>
    <row r="240" spans="15:15">
      <c r="O240" s="14"/>
    </row>
    <row r="241" spans="6:15">
      <c r="F241" s="25"/>
      <c r="G241" s="25"/>
      <c r="H241" s="25"/>
      <c r="I241" s="25"/>
      <c r="J241" s="67"/>
      <c r="K241" s="25"/>
      <c r="L241" s="67"/>
      <c r="M241" s="25"/>
      <c r="N241" s="67"/>
      <c r="O241" s="14"/>
    </row>
    <row r="242" spans="6:15">
      <c r="F242" s="25"/>
      <c r="G242" s="25"/>
      <c r="H242" s="25"/>
      <c r="I242" s="25"/>
      <c r="J242" s="67"/>
      <c r="K242" s="25"/>
      <c r="L242" s="67"/>
      <c r="M242" s="25"/>
      <c r="N242" s="67"/>
      <c r="O242" s="14"/>
    </row>
    <row r="243" spans="6:15" outlineLevel="1">
      <c r="F243" s="3" t="str">
        <f>'Fiscal and CB Dashboard'!F165</f>
        <v>Mode B: No External Financing Constraint, FX Intervention allowed DO NOT USE</v>
      </c>
      <c r="G243" s="3"/>
      <c r="H243" s="3"/>
      <c r="I243" s="3"/>
      <c r="J243" s="3"/>
      <c r="K243" s="3"/>
      <c r="L243" s="3"/>
      <c r="M243" s="3"/>
      <c r="N243" s="3"/>
      <c r="O243" s="14"/>
    </row>
    <row r="244" spans="6:15" outlineLevel="1">
      <c r="F244" s="93"/>
      <c r="J244" s="26"/>
      <c r="O244" s="14"/>
    </row>
    <row r="245" spans="6:15" outlineLevel="1">
      <c r="F245" s="81" t="s">
        <v>185</v>
      </c>
      <c r="J245" s="37">
        <f>-J28+J260</f>
        <v>3.4582670945771952</v>
      </c>
      <c r="L245" s="37">
        <f>-L28+L260</f>
        <v>-3.8290446627742902</v>
      </c>
      <c r="N245" s="37">
        <f>-N28+N260</f>
        <v>-3.8071091103027861</v>
      </c>
      <c r="O245" s="14"/>
    </row>
    <row r="246" spans="6:15" outlineLevel="1">
      <c r="F246" t="s">
        <v>186</v>
      </c>
      <c r="J246" s="146">
        <f>J116</f>
        <v>0</v>
      </c>
      <c r="L246" s="146">
        <f>L116</f>
        <v>0</v>
      </c>
      <c r="N246" s="146">
        <f>N116</f>
        <v>0</v>
      </c>
      <c r="O246" s="14"/>
    </row>
    <row r="247" spans="6:15" outlineLevel="1">
      <c r="F247" t="s">
        <v>194</v>
      </c>
      <c r="J247" s="37">
        <f>J245-J246</f>
        <v>3.4582670945771952</v>
      </c>
      <c r="L247" s="37">
        <f>L245-L246</f>
        <v>-3.8290446627742902</v>
      </c>
      <c r="N247" s="37">
        <f>N245-N246</f>
        <v>-3.8071091103027861</v>
      </c>
      <c r="O247" s="14"/>
    </row>
    <row r="248" spans="6:15" outlineLevel="1">
      <c r="F248" t="s">
        <v>187</v>
      </c>
      <c r="J248" s="146">
        <f>J118</f>
        <v>0.5</v>
      </c>
      <c r="L248" s="146">
        <f>L118</f>
        <v>0.5</v>
      </c>
      <c r="N248" s="146">
        <f>N118</f>
        <v>0.5</v>
      </c>
      <c r="O248" s="14"/>
    </row>
    <row r="249" spans="6:15" outlineLevel="1">
      <c r="F249" t="s">
        <v>188</v>
      </c>
      <c r="J249" s="146">
        <f>J119</f>
        <v>0.5</v>
      </c>
      <c r="L249" s="146">
        <f>L119</f>
        <v>0.5</v>
      </c>
      <c r="N249" s="146">
        <f>N119</f>
        <v>0.5</v>
      </c>
      <c r="O249" s="14"/>
    </row>
    <row r="250" spans="6:15" outlineLevel="1">
      <c r="F250" t="s">
        <v>193</v>
      </c>
      <c r="J250" s="37">
        <f>J251+J252+J253</f>
        <v>-3.7675453672271635</v>
      </c>
      <c r="L250" s="37">
        <f>L251+L252+L253</f>
        <v>-11.05485712457865</v>
      </c>
      <c r="N250" s="37">
        <f>N251+N252+N253</f>
        <v>-8.5426593495372387</v>
      </c>
      <c r="O250" s="14"/>
    </row>
    <row r="251" spans="6:15" outlineLevel="1">
      <c r="F251" t="s">
        <v>189</v>
      </c>
      <c r="J251" s="64">
        <f>'Fiscal and CB Dashboard'!J42/'External Sector Dashboard'!J15/2</f>
        <v>6.2258124618043587</v>
      </c>
      <c r="L251" s="64">
        <f>'Fiscal and CB Dashboard'!L42/'External Sector Dashboard'!L15/2</f>
        <v>6.2258124618043587</v>
      </c>
      <c r="N251" s="64">
        <f>'Fiscal and CB Dashboard'!N42/'External Sector Dashboard'!N15/2</f>
        <v>3.7355502392344522</v>
      </c>
      <c r="O251" s="14"/>
    </row>
    <row r="252" spans="6:15" outlineLevel="1">
      <c r="F252" t="s">
        <v>190</v>
      </c>
      <c r="J252" s="146">
        <f>J122</f>
        <v>0</v>
      </c>
      <c r="L252" s="146">
        <f>L122</f>
        <v>0</v>
      </c>
      <c r="N252" s="146">
        <f>N122</f>
        <v>0</v>
      </c>
      <c r="O252" s="14"/>
    </row>
    <row r="253" spans="6:15" outlineLevel="1">
      <c r="F253" t="s">
        <v>272</v>
      </c>
      <c r="J253" s="63">
        <f>J247-J248-J249-J251-J254</f>
        <v>-9.9933578290315221</v>
      </c>
      <c r="L253" s="63">
        <f>L247-L248-L249-L251-L254</f>
        <v>-17.280669586383009</v>
      </c>
      <c r="N253" s="63">
        <f>N247-N248-N249-N251-N254</f>
        <v>-12.278209588771691</v>
      </c>
      <c r="O253" s="14"/>
    </row>
    <row r="254" spans="6:15" outlineLevel="1">
      <c r="F254" t="s">
        <v>192</v>
      </c>
      <c r="J254" s="37">
        <f>J255+J256+J257</f>
        <v>6.2258124618043587</v>
      </c>
      <c r="L254" s="37">
        <f>L255+L256+L257</f>
        <v>6.2258124618043587</v>
      </c>
      <c r="N254" s="37">
        <f>N255+N256+N257</f>
        <v>3.7355502392344522</v>
      </c>
      <c r="O254" s="14"/>
    </row>
    <row r="255" spans="6:15" outlineLevel="1">
      <c r="F255" t="s">
        <v>189</v>
      </c>
      <c r="J255" s="64">
        <f>'Fiscal and CB Dashboard'!J42/'External Sector Dashboard'!J15/2</f>
        <v>6.2258124618043587</v>
      </c>
      <c r="L255" s="64">
        <f>'Fiscal and CB Dashboard'!L42/'External Sector Dashboard'!L15/2</f>
        <v>6.2258124618043587</v>
      </c>
      <c r="N255" s="64">
        <f>'Fiscal and CB Dashboard'!N42/'External Sector Dashboard'!N15/2</f>
        <v>3.7355502392344522</v>
      </c>
      <c r="O255" s="14"/>
    </row>
    <row r="256" spans="6:15" outlineLevel="1">
      <c r="F256" t="s">
        <v>190</v>
      </c>
      <c r="J256" s="146">
        <f>J126</f>
        <v>0</v>
      </c>
      <c r="L256" s="146">
        <f>L126</f>
        <v>0</v>
      </c>
      <c r="N256" s="146">
        <f>N126</f>
        <v>0</v>
      </c>
      <c r="O256" s="14"/>
    </row>
    <row r="257" spans="6:15" outlineLevel="1">
      <c r="F257" t="s">
        <v>191</v>
      </c>
      <c r="J257" s="146">
        <f>J127</f>
        <v>0</v>
      </c>
      <c r="L257" s="146">
        <f>L127</f>
        <v>0</v>
      </c>
      <c r="N257" s="146">
        <f>N127</f>
        <v>0</v>
      </c>
      <c r="O257" s="14"/>
    </row>
    <row r="258" spans="6:15" outlineLevel="1">
      <c r="F258" t="s">
        <v>195</v>
      </c>
      <c r="J258" s="146">
        <f>J128</f>
        <v>0</v>
      </c>
      <c r="L258" s="146">
        <f>L128</f>
        <v>0</v>
      </c>
      <c r="N258" s="146">
        <f>N128</f>
        <v>0</v>
      </c>
      <c r="O258" s="14"/>
    </row>
    <row r="259" spans="6:15" outlineLevel="1">
      <c r="O259" s="14"/>
    </row>
    <row r="260" spans="6:15" outlineLevel="1">
      <c r="F260" s="81" t="s">
        <v>222</v>
      </c>
      <c r="H260" t="e">
        <f>IF('Fiscal and CB Dashboard'!#REF!="N","Free float","FX Intervention")</f>
        <v>#REF!</v>
      </c>
      <c r="J260" s="37">
        <v>0</v>
      </c>
      <c r="L260" s="37">
        <v>-7.2653762048799244</v>
      </c>
      <c r="N260" s="37">
        <v>-7.2653762048799244</v>
      </c>
      <c r="O260" s="14"/>
    </row>
    <row r="261" spans="6:15" outlineLevel="1">
      <c r="F261" s="81"/>
      <c r="J261" s="26">
        <f>('Fiscal and CB Dashboard'!J169-'Fiscal and CB Dashboard'!$H169)/'External Sector Dashboard'!J15</f>
        <v>0</v>
      </c>
      <c r="L261" s="26">
        <f>('Fiscal and CB Dashboard'!L169-'Fiscal and CB Dashboard'!$H169)/'External Sector Dashboard'!L15</f>
        <v>-7.540673006839234</v>
      </c>
      <c r="N261" s="26">
        <f>('Fiscal and CB Dashboard'!L169-'Fiscal and CB Dashboard'!$H169)/'External Sector Dashboard'!L15</f>
        <v>-7.540673006839234</v>
      </c>
      <c r="O261" s="14"/>
    </row>
    <row r="262" spans="6:15" outlineLevel="1">
      <c r="F262" s="81" t="s">
        <v>281</v>
      </c>
      <c r="H262" s="22"/>
      <c r="J262" s="26"/>
      <c r="L262" s="26"/>
      <c r="N262" s="26"/>
      <c r="O262" s="14"/>
    </row>
    <row r="263" spans="6:15" outlineLevel="1">
      <c r="J263" s="80"/>
      <c r="L263" s="26"/>
      <c r="N263" s="26"/>
      <c r="O263" s="14"/>
    </row>
    <row r="264" spans="6:15" outlineLevel="1">
      <c r="F264" t="s">
        <v>255</v>
      </c>
      <c r="J264" s="37">
        <f>J37</f>
        <v>0.20740032199628899</v>
      </c>
      <c r="L264" s="37">
        <f>L37</f>
        <v>0.20740032199628899</v>
      </c>
      <c r="N264" s="37">
        <f>N37</f>
        <v>0.20740032199628899</v>
      </c>
      <c r="O264" s="14"/>
    </row>
    <row r="265" spans="6:15" outlineLevel="1">
      <c r="F265" t="s">
        <v>257</v>
      </c>
      <c r="J265" s="37">
        <f>J33</f>
        <v>-3.6656674165734833</v>
      </c>
      <c r="L265" s="37">
        <f>L33</f>
        <v>-3.6437318641019232</v>
      </c>
      <c r="N265" s="37">
        <f>N33</f>
        <v>-3.6656674165734278</v>
      </c>
      <c r="O265" s="14"/>
    </row>
    <row r="266" spans="6:15" outlineLevel="1">
      <c r="F266" t="s">
        <v>258</v>
      </c>
      <c r="J266" s="37">
        <f>J289</f>
        <v>1</v>
      </c>
      <c r="L266" s="37">
        <f>L289</f>
        <v>8.2653762048799244</v>
      </c>
      <c r="N266" s="37">
        <f>N289</f>
        <v>8.2653762048799244</v>
      </c>
      <c r="O266" s="14"/>
    </row>
    <row r="267" spans="6:15" outlineLevel="1">
      <c r="O267" s="14"/>
    </row>
    <row r="268" spans="6:15" outlineLevel="1">
      <c r="O268" s="14"/>
    </row>
    <row r="269" spans="6:15" outlineLevel="1">
      <c r="O269" s="14"/>
    </row>
    <row r="270" spans="6:15" outlineLevel="1">
      <c r="F270" t="s">
        <v>375</v>
      </c>
      <c r="H270">
        <f>119.846889889734/3*3</f>
        <v>119.846889889734</v>
      </c>
      <c r="J270">
        <f>(1/(1-0.5*J38))*((1+J38)*$H271-J264-J289-J38*0.5*$H$271)</f>
        <v>122.30515698431121</v>
      </c>
      <c r="L270">
        <f>(1/(1-0.5*L38))*((1+L38)*$H271-L264-L289-L38*0.5*$H$271)</f>
        <v>114.92810793302397</v>
      </c>
      <c r="N270">
        <f>(1/(1-0.5*N38))*((1+N38)*$H271-N264-N289-N38*0.5*$H$271)</f>
        <v>114.92810793302397</v>
      </c>
      <c r="O270" s="14"/>
    </row>
    <row r="271" spans="6:15" outlineLevel="1">
      <c r="F271" t="s">
        <v>115</v>
      </c>
      <c r="H271" s="58">
        <f>119.846889889734/3*3</f>
        <v>119.846889889734</v>
      </c>
      <c r="J271" s="37">
        <v>122.30515698431121</v>
      </c>
      <c r="L271" s="37">
        <v>109.92156203443024</v>
      </c>
      <c r="N271" s="37">
        <v>133.27400573546805</v>
      </c>
      <c r="O271" s="14"/>
    </row>
    <row r="272" spans="6:15" outlineLevel="1">
      <c r="F272" t="s">
        <v>376</v>
      </c>
      <c r="J272" s="26">
        <f>J270-J271</f>
        <v>0</v>
      </c>
      <c r="L272" s="26">
        <f>L270-L271</f>
        <v>5.0065458985937283</v>
      </c>
      <c r="N272" s="26">
        <f>N270-N271</f>
        <v>-18.345897802444085</v>
      </c>
      <c r="O272" s="14"/>
    </row>
    <row r="273" spans="6:15" outlineLevel="1">
      <c r="F273" t="s">
        <v>223</v>
      </c>
      <c r="J273" s="11">
        <f>J4/J15</f>
        <v>399.48963296577961</v>
      </c>
      <c r="K273" s="12"/>
      <c r="L273" s="11">
        <f>L4/L15</f>
        <v>399.48963296577961</v>
      </c>
      <c r="M273" s="12"/>
      <c r="N273" s="11">
        <f>N4/N15</f>
        <v>399.48963296577961</v>
      </c>
      <c r="O273" s="14"/>
    </row>
    <row r="274" spans="6:15" outlineLevel="1">
      <c r="F274" t="s">
        <v>224</v>
      </c>
      <c r="J274" s="33">
        <f>J271/J273</f>
        <v>0.30615351911970118</v>
      </c>
      <c r="K274" s="1"/>
      <c r="L274" s="33">
        <f>L271/L273</f>
        <v>0.27515498016401879</v>
      </c>
      <c r="M274" s="1"/>
      <c r="N274" s="33">
        <f>N271/N273</f>
        <v>0.33361067406443645</v>
      </c>
      <c r="O274" s="14"/>
    </row>
    <row r="275" spans="6:15" outlineLevel="1">
      <c r="J275" s="33"/>
      <c r="K275" s="1"/>
      <c r="L275" s="33"/>
      <c r="M275" s="1"/>
      <c r="N275" s="33"/>
      <c r="O275" s="14"/>
    </row>
    <row r="276" spans="6:15" outlineLevel="1">
      <c r="F276" t="s">
        <v>255</v>
      </c>
      <c r="J276" s="33">
        <f>J264/J$273</f>
        <v>5.1916321446583062E-4</v>
      </c>
      <c r="K276" s="1"/>
      <c r="L276" s="33">
        <f>L264/L$273</f>
        <v>5.1916321446583062E-4</v>
      </c>
      <c r="M276" s="1"/>
      <c r="N276" s="33">
        <f>N264/N$273</f>
        <v>5.1916321446583062E-4</v>
      </c>
      <c r="O276" s="14"/>
    </row>
    <row r="277" spans="6:15" outlineLevel="1">
      <c r="F277" t="s">
        <v>257</v>
      </c>
      <c r="J277" s="33">
        <f>J265/J$273</f>
        <v>-9.1758762032442664E-3</v>
      </c>
      <c r="K277" s="1"/>
      <c r="L277" s="33">
        <f>L265/L$273</f>
        <v>-9.1209672627826279E-3</v>
      </c>
      <c r="M277" s="1"/>
      <c r="N277" s="33">
        <f t="shared" ref="N277" si="0">N265/N$273</f>
        <v>-9.1758762032441276E-3</v>
      </c>
      <c r="O277" s="14"/>
    </row>
    <row r="278" spans="6:15" outlineLevel="1">
      <c r="F278" t="s">
        <v>258</v>
      </c>
      <c r="J278" s="33">
        <f>J266/J$273</f>
        <v>2.5031938690775997E-3</v>
      </c>
      <c r="K278" s="1"/>
      <c r="L278" s="33">
        <f>L266/L$273</f>
        <v>2.0689839041675304E-2</v>
      </c>
      <c r="M278" s="1"/>
      <c r="N278" s="33">
        <f t="shared" ref="N278" si="1">N266/N$273</f>
        <v>2.0689839041675304E-2</v>
      </c>
      <c r="O278" s="14"/>
    </row>
    <row r="279" spans="6:15" outlineLevel="1">
      <c r="F279" t="s">
        <v>346</v>
      </c>
      <c r="J279" s="120">
        <f>J152</f>
        <v>0.02</v>
      </c>
      <c r="L279" s="120">
        <f>L152</f>
        <v>0.02</v>
      </c>
      <c r="N279" s="120">
        <f>N152</f>
        <v>0.02</v>
      </c>
      <c r="O279" s="14"/>
    </row>
    <row r="280" spans="6:15" outlineLevel="1">
      <c r="F280" t="s">
        <v>342</v>
      </c>
      <c r="J280" s="120">
        <f>J153</f>
        <v>0.01</v>
      </c>
      <c r="L280" s="120">
        <f>L153</f>
        <v>0.01</v>
      </c>
      <c r="N280" s="120">
        <f>N153</f>
        <v>0.01</v>
      </c>
      <c r="O280" s="14"/>
    </row>
    <row r="281" spans="6:15" outlineLevel="1">
      <c r="F281" t="s">
        <v>344</v>
      </c>
      <c r="J281" s="120">
        <f>((J279-J280)/(1+J280))*J274-J278</f>
        <v>5.280290925036E-4</v>
      </c>
      <c r="L281" s="120">
        <f>((L279-L280)/(1+L280))*L274-L278</f>
        <v>-1.7965532307378088E-2</v>
      </c>
      <c r="N281" s="120">
        <f>((N279-N280)/(1+N280))*N274-N278</f>
        <v>-1.7386763060839298E-2</v>
      </c>
      <c r="O281" s="14"/>
    </row>
    <row r="282" spans="6:15" outlineLevel="1">
      <c r="F282" t="s">
        <v>345</v>
      </c>
      <c r="J282" s="121">
        <f>J281-J276</f>
        <v>8.8658780377693812E-6</v>
      </c>
      <c r="L282" s="121">
        <f>L281-L276</f>
        <v>-1.8484695521843918E-2</v>
      </c>
      <c r="N282" s="121">
        <f>N281-N276</f>
        <v>-1.7905926275305128E-2</v>
      </c>
      <c r="O282" s="14"/>
    </row>
    <row r="283" spans="6:15" outlineLevel="1">
      <c r="J283" s="14"/>
      <c r="O283" s="14"/>
    </row>
    <row r="284" spans="6:15" outlineLevel="1">
      <c r="F284" s="81" t="s">
        <v>347</v>
      </c>
      <c r="H284" s="58">
        <v>-250</v>
      </c>
      <c r="J284" s="32">
        <f>$H284+J28</f>
        <v>-253.4582670945772</v>
      </c>
      <c r="L284" s="32">
        <f>$H284+L28</f>
        <v>-253.43633154210562</v>
      </c>
      <c r="N284" s="32">
        <f>$H284+N28</f>
        <v>-253.45826709457714</v>
      </c>
      <c r="O284" s="14"/>
    </row>
    <row r="285" spans="6:15" outlineLevel="1">
      <c r="F285" t="s">
        <v>223</v>
      </c>
      <c r="J285" s="32">
        <f>J273</f>
        <v>399.48963296577961</v>
      </c>
      <c r="L285" s="32">
        <f>L273</f>
        <v>399.48963296577961</v>
      </c>
      <c r="N285" s="32">
        <f>N273</f>
        <v>399.48963296577961</v>
      </c>
      <c r="O285" s="14"/>
    </row>
    <row r="286" spans="6:15" outlineLevel="1">
      <c r="F286" t="s">
        <v>348</v>
      </c>
      <c r="J286" s="33">
        <f>J284/J285</f>
        <v>-0.63445518025817826</v>
      </c>
      <c r="L286" s="33">
        <f>L284/L285</f>
        <v>-0.63440027131771659</v>
      </c>
      <c r="N286" s="33">
        <f>N284/N285</f>
        <v>-0.63445518025817815</v>
      </c>
      <c r="O286" s="14"/>
    </row>
    <row r="287" spans="6:15" outlineLevel="1">
      <c r="O287" s="14"/>
    </row>
    <row r="288" spans="6:15" outlineLevel="1">
      <c r="F288" t="s">
        <v>327</v>
      </c>
      <c r="J288" s="61">
        <f>J245-J289</f>
        <v>2.4582670945771952</v>
      </c>
      <c r="L288" s="61">
        <f>L245-L289</f>
        <v>-12.094420867654215</v>
      </c>
      <c r="N288" s="61">
        <f>N245-N289</f>
        <v>-12.072485315182711</v>
      </c>
      <c r="O288" s="14"/>
    </row>
    <row r="289" spans="6:15" outlineLevel="1">
      <c r="F289" t="s">
        <v>226</v>
      </c>
      <c r="J289" s="61">
        <f>J248+J249-J260</f>
        <v>1</v>
      </c>
      <c r="L289" s="61">
        <f>L248+L249-L260</f>
        <v>8.2653762048799244</v>
      </c>
      <c r="N289" s="61">
        <f>N248+N249-N260</f>
        <v>8.2653762048799244</v>
      </c>
      <c r="O289" s="14"/>
    </row>
    <row r="290" spans="6:15" outlineLevel="1">
      <c r="F290" s="25"/>
      <c r="G290" s="25"/>
      <c r="H290" s="25"/>
      <c r="I290" s="25"/>
      <c r="J290" s="67"/>
      <c r="K290" s="25"/>
      <c r="L290" s="67"/>
      <c r="M290" s="25"/>
      <c r="N290" s="67"/>
      <c r="O290" s="14"/>
    </row>
    <row r="291" spans="6:15" outlineLevel="1">
      <c r="F291" s="81" t="s">
        <v>283</v>
      </c>
      <c r="O291" s="14"/>
    </row>
    <row r="292" spans="6:15" outlineLevel="1">
      <c r="F292" t="s">
        <v>280</v>
      </c>
      <c r="H292" s="58">
        <f>H165</f>
        <v>13.333333333333334</v>
      </c>
      <c r="J292" s="11">
        <f>$H292+J260</f>
        <v>13.333333333333334</v>
      </c>
      <c r="K292" s="12"/>
      <c r="L292" s="11">
        <f>$H292+L260</f>
        <v>6.0679571284534095</v>
      </c>
      <c r="M292" s="12"/>
      <c r="N292" s="11">
        <f>$H292+N260</f>
        <v>6.0679571284534095</v>
      </c>
      <c r="O292" s="14"/>
    </row>
    <row r="293" spans="6:15" outlineLevel="1">
      <c r="O293" s="14"/>
    </row>
    <row r="294" spans="6:15" outlineLevel="1">
      <c r="F294" t="s">
        <v>279</v>
      </c>
      <c r="H294" s="58">
        <f>H167</f>
        <v>11.984688988973401</v>
      </c>
      <c r="I294" s="51"/>
      <c r="J294" s="11">
        <f>0.1*J271</f>
        <v>12.230515698431121</v>
      </c>
      <c r="K294" s="12"/>
      <c r="L294" s="11">
        <f>0.1*L271</f>
        <v>10.992156203443024</v>
      </c>
      <c r="M294" s="12"/>
      <c r="N294" s="11">
        <f>0.1*N271</f>
        <v>13.327400573546806</v>
      </c>
      <c r="O294" s="14"/>
    </row>
    <row r="295" spans="6:15" outlineLevel="1">
      <c r="F295" t="s">
        <v>284</v>
      </c>
      <c r="H295" s="58">
        <f>H168</f>
        <v>1.1125306084789319</v>
      </c>
      <c r="J295" s="11">
        <f>J292/J294</f>
        <v>1.0901693487089574</v>
      </c>
      <c r="K295" s="12"/>
      <c r="L295" s="11">
        <f>L292/L294</f>
        <v>0.55202610080748038</v>
      </c>
      <c r="M295" s="12"/>
      <c r="N295" s="11">
        <f>N292/N294</f>
        <v>0.45529937326994824</v>
      </c>
      <c r="O295" s="14"/>
    </row>
    <row r="296" spans="6:15" outlineLevel="1">
      <c r="O296" s="14"/>
    </row>
    <row r="297" spans="6:15" outlineLevel="1">
      <c r="F297" t="s">
        <v>270</v>
      </c>
      <c r="H297" s="58">
        <f>H170</f>
        <v>59.923444944867001</v>
      </c>
      <c r="J297" s="11">
        <f>$H297+J253</f>
        <v>49.930087115835477</v>
      </c>
      <c r="L297" s="11">
        <f>$H297+L253</f>
        <v>42.642775358483988</v>
      </c>
      <c r="N297" s="11">
        <f>$H297+N253</f>
        <v>47.645235356095313</v>
      </c>
      <c r="O297" s="14"/>
    </row>
    <row r="298" spans="6:15" outlineLevel="1">
      <c r="F298" t="s">
        <v>271</v>
      </c>
      <c r="H298" s="58">
        <f>H171</f>
        <v>0.2225061216957864</v>
      </c>
      <c r="J298" s="33">
        <f>J292/J297</f>
        <v>0.26704005747878273</v>
      </c>
      <c r="L298" s="33">
        <f>L292/L297</f>
        <v>0.1422974250020563</v>
      </c>
      <c r="N298" s="33">
        <f>N292/N297</f>
        <v>0.12735706064000224</v>
      </c>
      <c r="O298" s="14"/>
    </row>
    <row r="299" spans="6:15" outlineLevel="1">
      <c r="O299" s="14"/>
    </row>
    <row r="300" spans="6:15" outlineLevel="1">
      <c r="F300" t="s">
        <v>228</v>
      </c>
      <c r="H300" s="26"/>
      <c r="J300" s="11">
        <f>(J292/(J161/12))</f>
        <v>65.086499491024142</v>
      </c>
      <c r="K300" s="26"/>
      <c r="L300" s="11">
        <f>(L292/(L161/12))</f>
        <v>-174.24170447726235</v>
      </c>
      <c r="M300" s="26"/>
      <c r="N300" s="11">
        <f>(N292/(N161/12))</f>
        <v>29.620656641448623</v>
      </c>
      <c r="O300" s="14"/>
    </row>
    <row r="301" spans="6:15" outlineLevel="1">
      <c r="F301" s="25"/>
      <c r="G301" s="25"/>
      <c r="H301" s="25"/>
      <c r="I301" s="25"/>
      <c r="J301" s="67"/>
      <c r="K301" s="25"/>
      <c r="L301" s="67"/>
      <c r="M301" s="25"/>
      <c r="N301" s="67"/>
      <c r="O301" s="14"/>
    </row>
    <row r="302" spans="6:15">
      <c r="F302" s="25"/>
      <c r="G302" s="25"/>
      <c r="H302" s="25"/>
      <c r="I302" s="25"/>
      <c r="J302" s="67"/>
      <c r="K302" s="25"/>
      <c r="L302" s="67"/>
      <c r="M302" s="25"/>
      <c r="N302" s="67"/>
      <c r="O302" s="14"/>
    </row>
    <row r="303" spans="6:15">
      <c r="F303" s="3" t="str">
        <f>'Fiscal and CB Dashboard'!F185</f>
        <v xml:space="preserve">Mode C:  External Financing Constraint (specify on BoP dashboard),  FX Intervention allowed </v>
      </c>
      <c r="G303" s="3"/>
      <c r="H303" s="3"/>
      <c r="I303" s="3"/>
      <c r="J303" s="3"/>
      <c r="K303" s="3"/>
      <c r="L303" s="3"/>
      <c r="M303" s="3"/>
      <c r="N303" s="3"/>
      <c r="O303" s="14"/>
    </row>
    <row r="304" spans="6:15">
      <c r="F304" s="93"/>
      <c r="J304" s="26"/>
      <c r="O304" s="14"/>
    </row>
    <row r="305" spans="6:15">
      <c r="F305" s="81" t="s">
        <v>185</v>
      </c>
      <c r="J305" s="61">
        <f>J114</f>
        <v>4</v>
      </c>
      <c r="L305" s="61">
        <f>L114</f>
        <v>4</v>
      </c>
      <c r="N305" s="61">
        <f>N114</f>
        <v>4</v>
      </c>
      <c r="O305" s="14"/>
    </row>
    <row r="306" spans="6:15">
      <c r="F306" t="s">
        <v>186</v>
      </c>
      <c r="J306" s="146">
        <f>J116</f>
        <v>0</v>
      </c>
      <c r="L306" s="146">
        <f>L116</f>
        <v>0</v>
      </c>
      <c r="N306" s="146">
        <f>N116</f>
        <v>0</v>
      </c>
      <c r="O306" s="14"/>
    </row>
    <row r="307" spans="6:15">
      <c r="F307" t="s">
        <v>194</v>
      </c>
      <c r="J307" s="37">
        <f>J305-J306</f>
        <v>4</v>
      </c>
      <c r="L307" s="37">
        <f>L305-L306</f>
        <v>4</v>
      </c>
      <c r="N307" s="37">
        <f>N305-N306</f>
        <v>4</v>
      </c>
      <c r="O307" s="14"/>
    </row>
    <row r="308" spans="6:15">
      <c r="F308" t="s">
        <v>187</v>
      </c>
      <c r="J308" s="61">
        <v>0.5</v>
      </c>
      <c r="L308" s="61">
        <f>J308</f>
        <v>0.5</v>
      </c>
      <c r="N308" s="61">
        <f>L308</f>
        <v>0.5</v>
      </c>
      <c r="O308" s="14"/>
    </row>
    <row r="309" spans="6:15">
      <c r="F309" t="s">
        <v>188</v>
      </c>
      <c r="J309" s="61">
        <v>0.5</v>
      </c>
      <c r="L309" s="61">
        <f>J309</f>
        <v>0.5</v>
      </c>
      <c r="N309" s="61">
        <f>L309</f>
        <v>0.5</v>
      </c>
      <c r="O309" s="14"/>
    </row>
    <row r="310" spans="6:15">
      <c r="F310" t="s">
        <v>193</v>
      </c>
      <c r="J310" s="37">
        <f>J311+J312+J313</f>
        <v>-3.2258124618043587</v>
      </c>
      <c r="L310" s="37">
        <f>L311+L312+L313</f>
        <v>-3.2258124618043587</v>
      </c>
      <c r="N310" s="37">
        <f>N311+N312+N313</f>
        <v>-0.73555023923445217</v>
      </c>
      <c r="O310" s="14"/>
    </row>
    <row r="311" spans="6:15">
      <c r="F311" t="s">
        <v>189</v>
      </c>
      <c r="J311" s="64">
        <f>'Fiscal and CB Dashboard'!J42/'External Sector Dashboard'!J15/2</f>
        <v>6.2258124618043587</v>
      </c>
      <c r="L311" s="64">
        <f>'Fiscal and CB Dashboard'!L42/'External Sector Dashboard'!L15/2</f>
        <v>6.2258124618043587</v>
      </c>
      <c r="N311" s="64">
        <f>'Fiscal and CB Dashboard'!N42/'External Sector Dashboard'!N15/2</f>
        <v>3.7355502392344522</v>
      </c>
      <c r="O311" s="14"/>
    </row>
    <row r="312" spans="6:15">
      <c r="F312" t="s">
        <v>190</v>
      </c>
      <c r="J312" s="146">
        <f>J122</f>
        <v>0</v>
      </c>
      <c r="L312" s="146">
        <f>L122</f>
        <v>0</v>
      </c>
      <c r="N312" s="146">
        <f>N122</f>
        <v>0</v>
      </c>
      <c r="O312" s="14"/>
    </row>
    <row r="313" spans="6:15">
      <c r="F313" t="s">
        <v>272</v>
      </c>
      <c r="J313" s="63">
        <f>J307-J308-J309-J311-J314</f>
        <v>-9.4516249236087173</v>
      </c>
      <c r="L313" s="63">
        <f>L307-L308-L309-L311-L314</f>
        <v>-9.4516249236087173</v>
      </c>
      <c r="N313" s="63">
        <f>N307-N308-N309-N311-N314</f>
        <v>-4.4711004784689043</v>
      </c>
      <c r="O313" s="14"/>
    </row>
    <row r="314" spans="6:15">
      <c r="F314" t="s">
        <v>192</v>
      </c>
      <c r="J314" s="37">
        <f>J315+J316+J317</f>
        <v>6.2258124618043587</v>
      </c>
      <c r="L314" s="37">
        <f>L315+L316+L317</f>
        <v>6.2258124618043587</v>
      </c>
      <c r="N314" s="37">
        <f>N315+N316+N317</f>
        <v>3.7355502392344522</v>
      </c>
      <c r="O314" s="14"/>
    </row>
    <row r="315" spans="6:15">
      <c r="F315" t="s">
        <v>189</v>
      </c>
      <c r="J315" s="64">
        <f>'Fiscal and CB Dashboard'!J42/'External Sector Dashboard'!J15/2</f>
        <v>6.2258124618043587</v>
      </c>
      <c r="L315" s="64">
        <f>'Fiscal and CB Dashboard'!L42/'External Sector Dashboard'!L15/2</f>
        <v>6.2258124618043587</v>
      </c>
      <c r="N315" s="64">
        <f>'Fiscal and CB Dashboard'!N42/'External Sector Dashboard'!N15/2</f>
        <v>3.7355502392344522</v>
      </c>
      <c r="O315" s="14"/>
    </row>
    <row r="316" spans="6:15">
      <c r="F316" t="s">
        <v>190</v>
      </c>
      <c r="J316" s="146">
        <f>J126</f>
        <v>0</v>
      </c>
      <c r="L316" s="146">
        <f>L126</f>
        <v>0</v>
      </c>
      <c r="N316" s="146">
        <f>N126</f>
        <v>0</v>
      </c>
      <c r="O316" s="14"/>
    </row>
    <row r="317" spans="6:15">
      <c r="F317" t="s">
        <v>191</v>
      </c>
      <c r="J317" s="146">
        <f>J127</f>
        <v>0</v>
      </c>
      <c r="L317" s="146">
        <f>L127</f>
        <v>0</v>
      </c>
      <c r="N317" s="146">
        <f>N127</f>
        <v>0</v>
      </c>
      <c r="O317" s="14"/>
    </row>
    <row r="318" spans="6:15">
      <c r="F318" t="s">
        <v>195</v>
      </c>
      <c r="J318" s="146">
        <f>J128</f>
        <v>0</v>
      </c>
      <c r="L318" s="146">
        <f>L128</f>
        <v>0</v>
      </c>
      <c r="N318" s="146">
        <f>N128</f>
        <v>0</v>
      </c>
      <c r="O318" s="14"/>
    </row>
    <row r="319" spans="6:15">
      <c r="O319" s="14"/>
    </row>
    <row r="320" spans="6:15">
      <c r="F320" s="81" t="s">
        <v>222</v>
      </c>
      <c r="J320" s="37">
        <f>J28+J305</f>
        <v>0.54173290542280483</v>
      </c>
      <c r="L320" s="37">
        <f>L28+L305</f>
        <v>0.56366845789436582</v>
      </c>
      <c r="N320" s="37">
        <f>N28+N305</f>
        <v>0.54173290542286168</v>
      </c>
      <c r="O320" s="14"/>
    </row>
    <row r="321" spans="6:15">
      <c r="F321" s="81"/>
      <c r="J321" s="26"/>
      <c r="L321" s="26"/>
      <c r="N321" s="26"/>
      <c r="O321" s="14"/>
    </row>
    <row r="322" spans="6:15">
      <c r="F322" s="81" t="s">
        <v>281</v>
      </c>
      <c r="H322" s="22"/>
      <c r="J322" s="26"/>
      <c r="L322" s="26"/>
      <c r="N322" s="26"/>
      <c r="O322" s="14"/>
    </row>
    <row r="323" spans="6:15">
      <c r="J323" s="80"/>
      <c r="L323" s="26"/>
      <c r="N323" s="26"/>
      <c r="O323" s="14"/>
    </row>
    <row r="324" spans="6:15">
      <c r="F324" t="s">
        <v>255</v>
      </c>
      <c r="J324" s="37">
        <f>J37</f>
        <v>0.20740032199628899</v>
      </c>
      <c r="L324" s="37">
        <f>L37</f>
        <v>0.20740032199628899</v>
      </c>
      <c r="N324" s="37">
        <f>N37</f>
        <v>0.20740032199628899</v>
      </c>
      <c r="O324" s="14"/>
    </row>
    <row r="325" spans="6:15">
      <c r="F325" t="s">
        <v>257</v>
      </c>
      <c r="J325" s="37">
        <f>-($H331*J38+J38*0.5*(J331-$H331))</f>
        <v>-3.6739941506385962</v>
      </c>
      <c r="L325" s="37">
        <f>-($H331*L38+L38*0.5*(L331-$H331))</f>
        <v>-3.6743313121994752</v>
      </c>
      <c r="N325" s="37">
        <f>-($H331*N38+N38*0.5*(N331-$H331))</f>
        <v>-3.6739941506385416</v>
      </c>
      <c r="O325" s="14"/>
    </row>
    <row r="326" spans="6:15">
      <c r="F326" t="s">
        <v>258</v>
      </c>
      <c r="J326" s="37">
        <f>J350</f>
        <v>0.45826709457719517</v>
      </c>
      <c r="L326" s="37">
        <f>L350</f>
        <v>0.43633154210563418</v>
      </c>
      <c r="N326" s="37">
        <f>N350</f>
        <v>0.45826709457713832</v>
      </c>
      <c r="O326" s="14"/>
    </row>
    <row r="327" spans="6:15">
      <c r="O327" s="14"/>
    </row>
    <row r="328" spans="6:15">
      <c r="O328" s="14"/>
    </row>
    <row r="329" spans="6:15">
      <c r="O329" s="14"/>
    </row>
    <row r="330" spans="6:15">
      <c r="F330" t="s">
        <v>375</v>
      </c>
      <c r="H330" s="147">
        <f>H141</f>
        <v>119.846889889734</v>
      </c>
      <c r="J330">
        <f>(1/(1-0.5*J38))*((1+J38)*$H330-J37-J350-J38*0.5*$H$330)</f>
        <v>122.85521662379912</v>
      </c>
      <c r="L330">
        <f>(1/(1-0.5*L38))*((1+L38)*$H330-L37-L350-L38*0.5*$H$330)</f>
        <v>122.87748933783156</v>
      </c>
      <c r="N330">
        <f>(1/(1-0.5*N38))*((1+N38)*$H330-N37-N350-N38*0.5*$H$330)</f>
        <v>122.85521662379912</v>
      </c>
      <c r="O330" s="14"/>
    </row>
    <row r="331" spans="6:15">
      <c r="F331" t="s">
        <v>115</v>
      </c>
      <c r="H331" s="147">
        <f>H141</f>
        <v>119.846889889734</v>
      </c>
      <c r="I331" s="43"/>
      <c r="J331" s="62">
        <f>(1/(1-0.5*J38))*((1+J38)*$H330-J37-J350-J38*0.5*$H$330)</f>
        <v>122.85521662379912</v>
      </c>
      <c r="K331" s="43"/>
      <c r="L331" s="62">
        <f>(1/(1-0.5*L38))*((1+L38)*$H330-L37-L350-L38*0.5*$H$330)</f>
        <v>122.87748933783156</v>
      </c>
      <c r="M331" s="43"/>
      <c r="N331" s="62">
        <f>(1/(1-0.5*N38))*((1+N38)*$H330-N37-N350-N38*0.5*$H$330)</f>
        <v>122.85521662379912</v>
      </c>
      <c r="O331" s="14"/>
    </row>
    <row r="332" spans="6:15">
      <c r="F332" t="s">
        <v>376</v>
      </c>
      <c r="J332" s="26">
        <f>H330-H331</f>
        <v>0</v>
      </c>
      <c r="L332" s="26">
        <f>J330-J331</f>
        <v>0</v>
      </c>
      <c r="N332" s="26">
        <f>L330-L331</f>
        <v>0</v>
      </c>
    </row>
    <row r="333" spans="6:15">
      <c r="O333" s="14"/>
    </row>
    <row r="334" spans="6:15">
      <c r="F334" t="s">
        <v>223</v>
      </c>
      <c r="J334" s="37">
        <f>J4/J15</f>
        <v>399.48963296577961</v>
      </c>
      <c r="K334" s="12"/>
      <c r="L334" s="37">
        <f>L4/L15</f>
        <v>399.48963296577961</v>
      </c>
      <c r="M334" s="12"/>
      <c r="N334" s="37">
        <f>N4/N15</f>
        <v>399.48963296577961</v>
      </c>
      <c r="O334" s="14"/>
    </row>
    <row r="335" spans="6:15">
      <c r="F335" t="s">
        <v>224</v>
      </c>
      <c r="J335" s="33">
        <f>J331/J334</f>
        <v>0.30753042503689437</v>
      </c>
      <c r="K335" s="1"/>
      <c r="L335" s="33">
        <f>L331/L334</f>
        <v>0.30758617795810805</v>
      </c>
      <c r="M335" s="1"/>
      <c r="N335" s="33">
        <f>N331/N334</f>
        <v>0.30753042503689437</v>
      </c>
      <c r="O335" s="14"/>
    </row>
    <row r="336" spans="6:15">
      <c r="J336" s="33"/>
      <c r="K336" s="1"/>
      <c r="L336" s="33"/>
      <c r="M336" s="1"/>
      <c r="N336" s="33"/>
      <c r="O336" s="14"/>
    </row>
    <row r="337" spans="6:15">
      <c r="F337" t="s">
        <v>255</v>
      </c>
      <c r="J337" s="33">
        <f>J324/J$70</f>
        <v>5.1916321446583062E-4</v>
      </c>
      <c r="K337" s="1"/>
      <c r="L337" s="33">
        <f>L324/L$70</f>
        <v>5.1916321446583062E-4</v>
      </c>
      <c r="M337" s="1"/>
      <c r="N337" s="33">
        <f>N324/N$70</f>
        <v>5.1916321446583062E-4</v>
      </c>
      <c r="O337" s="14"/>
    </row>
    <row r="338" spans="6:15">
      <c r="F338" t="s">
        <v>257</v>
      </c>
      <c r="J338" s="11">
        <f>-($H331*J38+J38*0.5*(J331-$H331))</f>
        <v>-3.6739941506385962</v>
      </c>
      <c r="K338" s="1"/>
      <c r="L338" s="11">
        <f>-($H331*L38+L38*0.5*(L331-$H331))</f>
        <v>-3.6743313121994752</v>
      </c>
      <c r="M338" s="1"/>
      <c r="N338" s="11">
        <f>-($H331*N38+N38*0.5*(N331-$H331))</f>
        <v>-3.6739941506385416</v>
      </c>
      <c r="O338" s="14"/>
    </row>
    <row r="339" spans="6:15">
      <c r="F339" t="s">
        <v>258</v>
      </c>
      <c r="J339" s="33">
        <f>J326/J$70</f>
        <v>1.1471313815456395E-3</v>
      </c>
      <c r="K339" s="1"/>
      <c r="L339" s="33">
        <f>L326/L$70</f>
        <v>1.092222441083998E-3</v>
      </c>
      <c r="M339" s="1"/>
      <c r="N339" s="33">
        <f>N326/N$70</f>
        <v>1.147131381545497E-3</v>
      </c>
      <c r="O339" s="14"/>
    </row>
    <row r="340" spans="6:15">
      <c r="F340" t="s">
        <v>346</v>
      </c>
      <c r="J340" s="120">
        <f>'OPTIONAL FULL MODEL APPENDIX'!W194</f>
        <v>0</v>
      </c>
      <c r="L340" s="120">
        <f>J340</f>
        <v>0</v>
      </c>
      <c r="N340" s="120">
        <f>L340</f>
        <v>0</v>
      </c>
      <c r="O340" s="14"/>
    </row>
    <row r="341" spans="6:15">
      <c r="F341" t="s">
        <v>342</v>
      </c>
      <c r="J341" s="120">
        <v>0.01</v>
      </c>
      <c r="L341" s="120">
        <v>0.01</v>
      </c>
      <c r="N341" s="120">
        <v>0.01</v>
      </c>
      <c r="O341" s="14"/>
    </row>
    <row r="342" spans="6:15">
      <c r="F342" t="s">
        <v>344</v>
      </c>
      <c r="J342" s="120">
        <f>((J340-J341)/(1+J341))*J335-J339</f>
        <v>-4.1919870749802376E-3</v>
      </c>
      <c r="L342" s="120">
        <f>((L340-L341)/(1+L341))*L335-L339</f>
        <v>-4.1376301436395237E-3</v>
      </c>
      <c r="N342" s="120">
        <f>((N340-N341)/(1+N341))*N335-N339</f>
        <v>-4.1919870749800945E-3</v>
      </c>
      <c r="O342" s="14"/>
    </row>
    <row r="343" spans="6:15">
      <c r="F343" t="s">
        <v>345</v>
      </c>
      <c r="J343" s="121">
        <f>J342-J337</f>
        <v>-4.7111502894460686E-3</v>
      </c>
      <c r="L343" s="121">
        <f>L342-L337</f>
        <v>-4.6567933581053546E-3</v>
      </c>
      <c r="N343" s="121">
        <f>N342-N337</f>
        <v>-4.7111502894459254E-3</v>
      </c>
      <c r="O343" s="14"/>
    </row>
    <row r="344" spans="6:15">
      <c r="J344" s="14">
        <f>-($H68*J38+J38*0.5*(J68-$H68))</f>
        <v>-3.6656674165734833</v>
      </c>
      <c r="O344" s="14"/>
    </row>
    <row r="345" spans="6:15">
      <c r="F345" s="81" t="s">
        <v>347</v>
      </c>
      <c r="H345" s="58">
        <v>-250</v>
      </c>
      <c r="J345" s="32">
        <f>$H345+J28</f>
        <v>-253.4582670945772</v>
      </c>
      <c r="L345" s="32">
        <f>$H345+L28</f>
        <v>-253.43633154210562</v>
      </c>
      <c r="N345" s="32">
        <f>$H345+N28</f>
        <v>-253.45826709457714</v>
      </c>
      <c r="O345" s="14"/>
    </row>
    <row r="346" spans="6:15">
      <c r="F346" t="s">
        <v>223</v>
      </c>
      <c r="J346" s="32">
        <f>J334</f>
        <v>399.48963296577961</v>
      </c>
      <c r="L346" s="32">
        <f>L334</f>
        <v>399.48963296577961</v>
      </c>
      <c r="N346" s="32">
        <f>N334</f>
        <v>399.48963296577961</v>
      </c>
      <c r="O346" s="14"/>
    </row>
    <row r="347" spans="6:15">
      <c r="F347" t="s">
        <v>348</v>
      </c>
      <c r="J347" s="33">
        <f>J345/J346</f>
        <v>-0.63445518025817826</v>
      </c>
      <c r="L347" s="33">
        <f>L345/L346</f>
        <v>-0.63440027131771659</v>
      </c>
      <c r="N347" s="33">
        <f>N345/N346</f>
        <v>-0.63445518025817815</v>
      </c>
      <c r="O347" s="14"/>
    </row>
    <row r="348" spans="6:15">
      <c r="O348" s="14"/>
    </row>
    <row r="349" spans="6:15">
      <c r="F349" t="s">
        <v>327</v>
      </c>
      <c r="J349" s="61">
        <f>J305-J350</f>
        <v>3.5417329054228048</v>
      </c>
      <c r="L349" s="61">
        <f>L305-L350</f>
        <v>3.5636684578943658</v>
      </c>
      <c r="N349" s="61">
        <f>N305-N350</f>
        <v>3.5417329054228617</v>
      </c>
      <c r="O349" s="14"/>
    </row>
    <row r="350" spans="6:15">
      <c r="F350" t="s">
        <v>226</v>
      </c>
      <c r="J350" s="61">
        <f>J308+J309-J320</f>
        <v>0.45826709457719517</v>
      </c>
      <c r="L350" s="61">
        <f>L308+L309-L320</f>
        <v>0.43633154210563418</v>
      </c>
      <c r="N350" s="61">
        <f>N308+N309-N320</f>
        <v>0.45826709457713832</v>
      </c>
      <c r="O350" s="14"/>
    </row>
    <row r="351" spans="6:15">
      <c r="F351" s="25"/>
      <c r="G351" s="25"/>
      <c r="H351" s="25"/>
      <c r="I351" s="25"/>
      <c r="J351" s="67"/>
      <c r="K351" s="25"/>
      <c r="L351" s="67"/>
      <c r="M351" s="25"/>
      <c r="N351" s="67"/>
      <c r="O351" s="14"/>
    </row>
    <row r="352" spans="6:15">
      <c r="F352" s="81" t="s">
        <v>283</v>
      </c>
      <c r="O352" s="14"/>
    </row>
    <row r="353" spans="6:15">
      <c r="F353" t="s">
        <v>280</v>
      </c>
      <c r="H353" s="58">
        <f>H165</f>
        <v>13.333333333333334</v>
      </c>
      <c r="J353" s="11">
        <f>$H353+J320</f>
        <v>13.875066238756139</v>
      </c>
      <c r="K353" s="12"/>
      <c r="L353" s="11">
        <f>$H353+L320</f>
        <v>13.8970017912277</v>
      </c>
      <c r="M353" s="12"/>
      <c r="N353" s="11">
        <f>$H353+N320</f>
        <v>13.875066238756196</v>
      </c>
      <c r="O353" s="14"/>
    </row>
    <row r="354" spans="6:15">
      <c r="O354" s="14"/>
    </row>
    <row r="355" spans="6:15">
      <c r="F355" t="s">
        <v>279</v>
      </c>
      <c r="H355" s="58">
        <f t="shared" ref="H355:H356" si="2">H167</f>
        <v>11.984688988973401</v>
      </c>
      <c r="I355" s="51"/>
      <c r="J355" s="11">
        <f>0.1*J331</f>
        <v>12.285521662379914</v>
      </c>
      <c r="K355" s="12"/>
      <c r="L355" s="11">
        <f>0.1*L331</f>
        <v>12.287748933783156</v>
      </c>
      <c r="M355" s="12"/>
      <c r="N355" s="11">
        <f>0.1*N331</f>
        <v>12.285521662379914</v>
      </c>
      <c r="O355" s="14"/>
    </row>
    <row r="356" spans="6:15">
      <c r="F356" t="s">
        <v>284</v>
      </c>
      <c r="H356" s="58">
        <f t="shared" si="2"/>
        <v>1.1125306084789319</v>
      </c>
      <c r="J356" s="11">
        <f>J353/J355</f>
        <v>1.1293835638452085</v>
      </c>
      <c r="K356" s="12"/>
      <c r="L356" s="11">
        <f>L353/L355</f>
        <v>1.130964008633035</v>
      </c>
      <c r="M356" s="12"/>
      <c r="N356" s="11">
        <f>N353/N355</f>
        <v>1.1293835638452132</v>
      </c>
      <c r="O356" s="14"/>
    </row>
    <row r="357" spans="6:15">
      <c r="O357" s="14"/>
    </row>
    <row r="358" spans="6:15">
      <c r="F358" t="s">
        <v>270</v>
      </c>
      <c r="H358" s="58">
        <f t="shared" ref="H358:H359" si="3">H170</f>
        <v>59.923444944867001</v>
      </c>
      <c r="J358" s="11">
        <f>$H358+J313</f>
        <v>50.471820021258281</v>
      </c>
      <c r="L358" s="11">
        <f>$H358+L313</f>
        <v>50.471820021258281</v>
      </c>
      <c r="N358" s="11">
        <f>$H358+N313</f>
        <v>55.452344466398095</v>
      </c>
      <c r="O358" s="14"/>
    </row>
    <row r="359" spans="6:15">
      <c r="F359" t="s">
        <v>271</v>
      </c>
      <c r="H359" s="58">
        <f t="shared" si="3"/>
        <v>0.2225061216957864</v>
      </c>
      <c r="J359" s="33">
        <f>J353/J358</f>
        <v>0.27490719044631406</v>
      </c>
      <c r="L359" s="33">
        <f>L353/L358</f>
        <v>0.27534180034273398</v>
      </c>
      <c r="N359" s="33">
        <f>N353/N358</f>
        <v>0.2502160435644688</v>
      </c>
      <c r="O359" s="14"/>
    </row>
    <row r="360" spans="6:15">
      <c r="O360" s="14"/>
    </row>
    <row r="361" spans="6:15">
      <c r="F361" t="s">
        <v>228</v>
      </c>
      <c r="H361" s="26"/>
      <c r="J361" s="33">
        <f>(J353/J31)</f>
        <v>0.13395141583203798</v>
      </c>
      <c r="K361" s="26"/>
      <c r="L361" s="33">
        <f>(L353/L31)</f>
        <v>0.13416318406867644</v>
      </c>
      <c r="M361" s="26"/>
      <c r="N361" s="33">
        <f>(N353/N31)</f>
        <v>0.13395141583203851</v>
      </c>
      <c r="O361" s="14"/>
    </row>
    <row r="362" spans="6:15">
      <c r="F362" s="25"/>
      <c r="G362" s="25"/>
      <c r="H362" s="25"/>
      <c r="I362" s="25"/>
      <c r="J362" s="67"/>
      <c r="K362" s="25"/>
      <c r="L362" s="67"/>
      <c r="M362" s="25"/>
      <c r="N362" s="67"/>
      <c r="O362" s="14"/>
    </row>
    <row r="363" spans="6:15">
      <c r="F363" s="25"/>
      <c r="G363" s="25"/>
      <c r="H363" s="25"/>
      <c r="I363" s="25"/>
      <c r="J363" s="67"/>
      <c r="K363" s="25"/>
      <c r="L363" s="67"/>
      <c r="M363" s="25"/>
      <c r="N363" s="67"/>
      <c r="O363" s="14"/>
    </row>
    <row r="364" spans="6:15">
      <c r="F364" s="25"/>
      <c r="G364" s="25"/>
      <c r="H364" s="25"/>
      <c r="I364" s="25"/>
      <c r="J364" s="67"/>
      <c r="K364" s="25"/>
      <c r="L364" s="67"/>
      <c r="M364" s="25"/>
      <c r="N364" s="67"/>
      <c r="O364" s="14"/>
    </row>
    <row r="365" spans="6:15">
      <c r="F365" s="25"/>
      <c r="G365" s="25"/>
      <c r="H365" s="25"/>
      <c r="I365" s="25"/>
      <c r="J365" s="67"/>
      <c r="K365" s="25"/>
      <c r="L365" s="67"/>
      <c r="M365" s="25"/>
      <c r="N365" s="67"/>
      <c r="O365" s="14"/>
    </row>
    <row r="366" spans="6:15">
      <c r="F366" s="25"/>
      <c r="G366" s="25"/>
      <c r="H366" s="25"/>
      <c r="I366" s="25"/>
      <c r="J366" s="67"/>
      <c r="K366" s="25"/>
      <c r="L366" s="67"/>
      <c r="M366" s="25"/>
      <c r="N366" s="67"/>
      <c r="O366" s="14"/>
    </row>
    <row r="367" spans="6:15">
      <c r="F367" s="25"/>
      <c r="G367" s="25"/>
      <c r="H367" s="25"/>
      <c r="I367" s="25"/>
      <c r="J367" s="67"/>
      <c r="K367" s="25"/>
      <c r="L367" s="67"/>
      <c r="M367" s="25"/>
      <c r="N367" s="67"/>
      <c r="O367" s="14"/>
    </row>
    <row r="368" spans="6:15">
      <c r="F368" s="25"/>
      <c r="G368" s="25"/>
      <c r="H368" s="25"/>
      <c r="I368" s="25"/>
      <c r="J368" s="67"/>
      <c r="K368" s="25"/>
      <c r="L368" s="67"/>
      <c r="M368" s="25"/>
      <c r="N368" s="67"/>
      <c r="O368" s="14"/>
    </row>
    <row r="369" spans="6:15">
      <c r="F369" s="25"/>
      <c r="G369" s="25"/>
      <c r="H369" s="25"/>
      <c r="I369" s="25"/>
      <c r="J369" s="67"/>
      <c r="K369" s="25"/>
      <c r="L369" s="67"/>
      <c r="M369" s="25"/>
      <c r="N369" s="67"/>
      <c r="O369" s="14"/>
    </row>
    <row r="370" spans="6:15">
      <c r="F370" s="25"/>
      <c r="G370" s="25"/>
      <c r="H370" s="25"/>
      <c r="I370" s="25"/>
      <c r="J370" s="67"/>
      <c r="K370" s="25"/>
      <c r="L370" s="67"/>
      <c r="M370" s="25"/>
      <c r="N370" s="67"/>
      <c r="O370" s="14"/>
    </row>
    <row r="371" spans="6:15">
      <c r="F371" s="25"/>
      <c r="G371" s="25"/>
      <c r="H371" s="25"/>
      <c r="I371" s="25"/>
      <c r="J371" s="67"/>
      <c r="K371" s="25"/>
      <c r="L371" s="67"/>
      <c r="M371" s="25"/>
      <c r="N371" s="67"/>
      <c r="O371" s="14"/>
    </row>
    <row r="372" spans="6:15">
      <c r="F372" s="25"/>
      <c r="G372" s="25"/>
      <c r="H372" s="25"/>
      <c r="I372" s="25"/>
      <c r="J372" s="67"/>
      <c r="K372" s="25"/>
      <c r="L372" s="67"/>
      <c r="M372" s="25"/>
      <c r="N372" s="67"/>
      <c r="O372" s="14"/>
    </row>
    <row r="373" spans="6:15">
      <c r="F373" s="25"/>
      <c r="G373" s="25"/>
      <c r="H373" s="25"/>
      <c r="I373" s="25"/>
      <c r="J373" s="67"/>
      <c r="K373" s="25"/>
      <c r="L373" s="67"/>
      <c r="M373" s="25"/>
      <c r="N373" s="67"/>
      <c r="O373" s="14"/>
    </row>
    <row r="374" spans="6:15">
      <c r="F374" s="25"/>
      <c r="G374" s="25"/>
      <c r="H374" s="25"/>
      <c r="I374" s="25"/>
      <c r="J374" s="67"/>
      <c r="K374" s="25"/>
      <c r="L374" s="67"/>
      <c r="M374" s="25"/>
      <c r="N374" s="67"/>
      <c r="O374" s="14"/>
    </row>
    <row r="375" spans="6:15">
      <c r="F375" s="25"/>
      <c r="G375" s="25"/>
      <c r="H375" s="25"/>
      <c r="I375" s="25"/>
      <c r="J375" s="67"/>
      <c r="K375" s="25"/>
      <c r="L375" s="67"/>
      <c r="M375" s="25"/>
      <c r="N375" s="67"/>
      <c r="O375" s="14"/>
    </row>
    <row r="376" spans="6:15">
      <c r="F376" s="25"/>
      <c r="G376" s="25"/>
      <c r="H376" s="25"/>
      <c r="I376" s="25"/>
      <c r="J376" s="67"/>
      <c r="K376" s="25"/>
      <c r="L376" s="67"/>
      <c r="M376" s="25"/>
      <c r="N376" s="67"/>
      <c r="O376" s="14"/>
    </row>
    <row r="377" spans="6:15">
      <c r="F377" s="25"/>
      <c r="G377" s="25"/>
      <c r="H377" s="25"/>
      <c r="I377" s="25"/>
      <c r="J377" s="67"/>
      <c r="K377" s="25"/>
      <c r="L377" s="67"/>
      <c r="M377" s="25"/>
      <c r="N377" s="67"/>
      <c r="O377" s="14"/>
    </row>
    <row r="378" spans="6:15">
      <c r="F378" s="25"/>
      <c r="G378" s="25"/>
      <c r="H378" s="25"/>
      <c r="I378" s="25"/>
      <c r="J378" s="67"/>
      <c r="K378" s="25"/>
      <c r="L378" s="67"/>
      <c r="M378" s="25"/>
      <c r="N378" s="67"/>
      <c r="O378" s="14"/>
    </row>
    <row r="379" spans="6:15">
      <c r="F379" s="25"/>
      <c r="G379" s="25"/>
      <c r="H379" s="25"/>
      <c r="I379" s="25"/>
      <c r="J379" s="67"/>
      <c r="K379" s="25"/>
      <c r="L379" s="67"/>
      <c r="M379" s="25"/>
      <c r="N379" s="67"/>
      <c r="O379" s="14"/>
    </row>
    <row r="380" spans="6:15">
      <c r="F380" s="25"/>
      <c r="G380" s="25"/>
      <c r="H380" s="25"/>
      <c r="I380" s="25"/>
      <c r="J380" s="67"/>
      <c r="K380" s="25"/>
      <c r="L380" s="67"/>
      <c r="M380" s="25"/>
      <c r="N380" s="67"/>
      <c r="O380" s="14"/>
    </row>
    <row r="381" spans="6:15">
      <c r="F381" s="25"/>
      <c r="G381" s="25"/>
      <c r="H381" s="25"/>
      <c r="I381" s="25"/>
      <c r="J381" s="67"/>
      <c r="K381" s="25"/>
      <c r="L381" s="67"/>
      <c r="M381" s="25"/>
      <c r="N381" s="67"/>
      <c r="O381" s="14"/>
    </row>
    <row r="382" spans="6:15">
      <c r="F382" s="25"/>
      <c r="G382" s="25"/>
      <c r="H382" s="25"/>
      <c r="I382" s="25"/>
      <c r="J382" s="67"/>
      <c r="K382" s="25"/>
      <c r="L382" s="67"/>
      <c r="M382" s="25"/>
      <c r="N382" s="67"/>
      <c r="O382" s="14"/>
    </row>
    <row r="383" spans="6:15">
      <c r="F383" s="25"/>
      <c r="G383" s="25"/>
      <c r="H383" s="25"/>
      <c r="I383" s="25"/>
      <c r="J383" s="67"/>
      <c r="K383" s="25"/>
      <c r="L383" s="67"/>
      <c r="M383" s="25"/>
      <c r="N383" s="67"/>
      <c r="O383" s="14"/>
    </row>
    <row r="384" spans="6:15">
      <c r="F384" s="25"/>
      <c r="G384" s="25"/>
      <c r="H384" s="25"/>
      <c r="I384" s="25"/>
      <c r="J384" s="67"/>
      <c r="K384" s="25"/>
      <c r="L384" s="67"/>
      <c r="M384" s="25"/>
      <c r="N384" s="67"/>
      <c r="O384" s="14"/>
    </row>
    <row r="385" spans="6:15">
      <c r="F385" s="25"/>
      <c r="G385" s="25"/>
      <c r="H385" s="25"/>
      <c r="I385" s="25"/>
      <c r="J385" s="67"/>
      <c r="K385" s="25"/>
      <c r="L385" s="67"/>
      <c r="M385" s="25"/>
      <c r="N385" s="67"/>
      <c r="O385" s="14"/>
    </row>
    <row r="386" spans="6:15">
      <c r="F386" s="25"/>
      <c r="G386" s="25"/>
      <c r="H386" s="25"/>
      <c r="I386" s="25"/>
      <c r="J386" s="67"/>
      <c r="K386" s="25"/>
      <c r="L386" s="67"/>
      <c r="M386" s="25"/>
      <c r="N386" s="67"/>
      <c r="O386" s="14"/>
    </row>
    <row r="387" spans="6:15">
      <c r="F387" s="25"/>
      <c r="G387" s="25"/>
      <c r="H387" s="25"/>
      <c r="I387" s="25"/>
      <c r="J387" s="67"/>
      <c r="K387" s="25"/>
      <c r="L387" s="67"/>
      <c r="M387" s="25"/>
      <c r="N387" s="67"/>
      <c r="O387" s="14"/>
    </row>
    <row r="388" spans="6:15">
      <c r="F388" s="25"/>
      <c r="G388" s="25"/>
      <c r="H388" s="25"/>
      <c r="I388" s="25"/>
      <c r="J388" s="67"/>
      <c r="K388" s="25"/>
      <c r="L388" s="67"/>
      <c r="M388" s="25"/>
      <c r="N388" s="67"/>
      <c r="O388" s="14"/>
    </row>
    <row r="389" spans="6:15">
      <c r="F389" s="25"/>
      <c r="G389" s="25"/>
      <c r="H389" s="25"/>
      <c r="I389" s="25"/>
      <c r="J389" s="67"/>
      <c r="K389" s="25"/>
      <c r="L389" s="67"/>
      <c r="M389" s="25"/>
      <c r="N389" s="67"/>
      <c r="O389" s="14"/>
    </row>
    <row r="390" spans="6:15">
      <c r="F390" s="25"/>
      <c r="G390" s="25"/>
      <c r="H390" s="25"/>
      <c r="I390" s="25"/>
      <c r="J390" s="67"/>
      <c r="K390" s="25"/>
      <c r="L390" s="67"/>
      <c r="M390" s="25"/>
      <c r="N390" s="67"/>
      <c r="O390" s="14"/>
    </row>
    <row r="391" spans="6:15">
      <c r="F391" s="25"/>
      <c r="G391" s="25"/>
      <c r="H391" s="25"/>
      <c r="I391" s="25"/>
      <c r="J391" s="67"/>
      <c r="K391" s="25"/>
      <c r="L391" s="67"/>
      <c r="M391" s="25"/>
      <c r="N391" s="67"/>
      <c r="O391" s="14"/>
    </row>
    <row r="392" spans="6:15">
      <c r="F392" s="25"/>
      <c r="G392" s="25"/>
      <c r="H392" s="25"/>
      <c r="I392" s="25"/>
      <c r="J392" s="67"/>
      <c r="K392" s="25"/>
      <c r="L392" s="67"/>
      <c r="M392" s="25"/>
      <c r="N392" s="67"/>
      <c r="O392" s="14"/>
    </row>
    <row r="393" spans="6:15">
      <c r="F393" s="25"/>
      <c r="G393" s="25"/>
      <c r="H393" s="25"/>
      <c r="I393" s="25"/>
      <c r="J393" s="67"/>
      <c r="K393" s="25"/>
      <c r="L393" s="67"/>
      <c r="M393" s="25"/>
      <c r="N393" s="67"/>
      <c r="O393" s="14"/>
    </row>
    <row r="394" spans="6:15">
      <c r="F394" s="25"/>
      <c r="G394" s="25"/>
      <c r="H394" s="25"/>
      <c r="I394" s="25"/>
      <c r="J394" s="67"/>
      <c r="K394" s="25"/>
      <c r="L394" s="67"/>
      <c r="M394" s="25"/>
      <c r="N394" s="67"/>
      <c r="O394" s="14"/>
    </row>
    <row r="395" spans="6:15">
      <c r="F395" s="25"/>
      <c r="G395" s="25"/>
      <c r="H395" s="25"/>
      <c r="I395" s="25"/>
      <c r="J395" s="67"/>
      <c r="K395" s="25"/>
      <c r="L395" s="67"/>
      <c r="M395" s="25"/>
      <c r="N395" s="67"/>
      <c r="O395" s="14"/>
    </row>
    <row r="396" spans="6:15">
      <c r="F396" s="25"/>
      <c r="G396" s="25"/>
      <c r="H396" s="25"/>
      <c r="I396" s="25"/>
      <c r="J396" s="67"/>
      <c r="K396" s="25"/>
      <c r="L396" s="67"/>
      <c r="M396" s="25"/>
      <c r="N396" s="67"/>
      <c r="O396" s="14"/>
    </row>
    <row r="397" spans="6:15">
      <c r="F397" s="25"/>
      <c r="G397" s="25"/>
      <c r="H397" s="25"/>
      <c r="I397" s="25"/>
      <c r="J397" s="67"/>
      <c r="K397" s="25"/>
      <c r="L397" s="67"/>
      <c r="M397" s="25"/>
      <c r="N397" s="67"/>
      <c r="O397" s="14"/>
    </row>
    <row r="398" spans="6:15">
      <c r="F398" s="25"/>
      <c r="G398" s="25"/>
      <c r="H398" s="25"/>
      <c r="I398" s="25"/>
      <c r="J398" s="67"/>
      <c r="K398" s="25"/>
      <c r="L398" s="67"/>
      <c r="M398" s="25"/>
      <c r="N398" s="67"/>
      <c r="O398" s="14"/>
    </row>
    <row r="399" spans="6:15">
      <c r="F399" s="25"/>
      <c r="G399" s="25"/>
      <c r="H399" s="25"/>
      <c r="I399" s="25"/>
      <c r="J399" s="67"/>
      <c r="K399" s="25"/>
      <c r="L399" s="67"/>
      <c r="M399" s="25"/>
      <c r="N399" s="67"/>
      <c r="O399" s="14"/>
    </row>
    <row r="400" spans="6:15">
      <c r="F400" s="25"/>
      <c r="G400" s="25"/>
      <c r="H400" s="25"/>
      <c r="I400" s="25"/>
      <c r="J400" s="67"/>
      <c r="K400" s="25"/>
      <c r="L400" s="67"/>
      <c r="M400" s="25"/>
      <c r="N400" s="67"/>
      <c r="O400" s="14"/>
    </row>
    <row r="401" spans="6:15">
      <c r="F401" s="25"/>
      <c r="G401" s="25"/>
      <c r="H401" s="25"/>
      <c r="I401" s="25"/>
      <c r="J401" s="67"/>
      <c r="K401" s="25"/>
      <c r="L401" s="67"/>
      <c r="M401" s="25"/>
      <c r="N401" s="67"/>
      <c r="O401" s="14"/>
    </row>
    <row r="402" spans="6:15">
      <c r="F402" s="25"/>
      <c r="G402" s="25"/>
      <c r="H402" s="25"/>
      <c r="I402" s="25"/>
      <c r="J402" s="67"/>
      <c r="K402" s="25"/>
      <c r="L402" s="67"/>
      <c r="M402" s="25"/>
      <c r="N402" s="67"/>
      <c r="O402" s="14"/>
    </row>
    <row r="403" spans="6:15">
      <c r="F403" s="25"/>
      <c r="G403" s="25"/>
      <c r="H403" s="25"/>
      <c r="I403" s="25"/>
      <c r="J403" s="67"/>
      <c r="K403" s="25"/>
      <c r="L403" s="67"/>
      <c r="M403" s="25"/>
      <c r="N403" s="67"/>
      <c r="O403" s="14"/>
    </row>
    <row r="404" spans="6:15">
      <c r="F404" s="25"/>
      <c r="G404" s="25"/>
      <c r="H404" s="25"/>
      <c r="I404" s="25"/>
      <c r="J404" s="67"/>
      <c r="K404" s="25"/>
      <c r="L404" s="67"/>
      <c r="M404" s="25"/>
      <c r="N404" s="67"/>
      <c r="O404" s="14"/>
    </row>
    <row r="405" spans="6:15">
      <c r="F405" s="25"/>
      <c r="G405" s="25"/>
      <c r="H405" s="25"/>
      <c r="I405" s="25"/>
      <c r="J405" s="67"/>
      <c r="K405" s="25"/>
      <c r="L405" s="67"/>
      <c r="M405" s="25"/>
      <c r="N405" s="67"/>
      <c r="O405" s="14"/>
    </row>
    <row r="406" spans="6:15">
      <c r="F406" s="25"/>
      <c r="G406" s="25"/>
      <c r="H406" s="25"/>
      <c r="I406" s="25"/>
      <c r="J406" s="67"/>
      <c r="K406" s="25"/>
      <c r="L406" s="67"/>
      <c r="M406" s="25"/>
      <c r="N406" s="67"/>
      <c r="O406" s="14"/>
    </row>
    <row r="407" spans="6:15">
      <c r="F407" s="25"/>
      <c r="G407" s="25"/>
      <c r="H407" s="25"/>
      <c r="I407" s="25"/>
      <c r="J407" s="67"/>
      <c r="K407" s="25"/>
      <c r="L407" s="67"/>
      <c r="M407" s="25"/>
      <c r="N407" s="67"/>
      <c r="O407" s="14"/>
    </row>
    <row r="408" spans="6:15">
      <c r="F408" t="s">
        <v>280</v>
      </c>
      <c r="H408" s="58">
        <f>'Fiscal and CB Dashboard'!H65/H14</f>
        <v>13.333333333333334</v>
      </c>
      <c r="J408" s="37">
        <f>H408+J55</f>
        <v>13.333333333333334</v>
      </c>
      <c r="L408" s="37">
        <f>H408+L55</f>
        <v>11.90621791454867</v>
      </c>
      <c r="N408" s="37">
        <f>H408+N55</f>
        <v>13.333333333333334</v>
      </c>
    </row>
    <row r="409" spans="6:15">
      <c r="J409" s="14"/>
    </row>
    <row r="410" spans="6:15">
      <c r="F410" t="s">
        <v>366</v>
      </c>
      <c r="J410" s="14"/>
    </row>
    <row r="411" spans="6:15">
      <c r="J411" s="14"/>
    </row>
    <row r="412" spans="6:15">
      <c r="F412" s="81" t="s">
        <v>367</v>
      </c>
      <c r="J412" s="61">
        <v>2</v>
      </c>
      <c r="L412" s="61">
        <v>2</v>
      </c>
      <c r="N412" s="61">
        <v>10</v>
      </c>
    </row>
    <row r="413" spans="6:15">
      <c r="J413" s="14"/>
    </row>
    <row r="414" spans="6:15">
      <c r="F414" s="81" t="s">
        <v>222</v>
      </c>
      <c r="H414" t="str">
        <f>IF('Fiscal and CB Dashboard'!H71="N","Free float","FX Intervention")</f>
        <v>FX Intervention</v>
      </c>
      <c r="J414" s="37">
        <f>J28+J412</f>
        <v>-1.4582670945771952</v>
      </c>
      <c r="L414" s="37">
        <f>L28+L412</f>
        <v>-1.4363315421056342</v>
      </c>
      <c r="N414" s="37">
        <f>N28+N412</f>
        <v>6.5417329054228617</v>
      </c>
    </row>
    <row r="415" spans="6:15">
      <c r="J415" s="14"/>
    </row>
    <row r="425" spans="6:15">
      <c r="O425" s="26"/>
    </row>
    <row r="428" spans="6:15">
      <c r="F428" t="s">
        <v>119</v>
      </c>
    </row>
    <row r="430" spans="6:15" outlineLevel="1"/>
    <row r="431" spans="6:15" outlineLevel="1">
      <c r="F431" t="s">
        <v>229</v>
      </c>
      <c r="J431" s="65">
        <f>J28/J70</f>
        <v>-8.656712988778438E-3</v>
      </c>
      <c r="K431" s="13"/>
      <c r="L431" s="65">
        <f>L28/L70</f>
        <v>-8.6018040483167961E-3</v>
      </c>
      <c r="M431" s="13"/>
      <c r="N431" s="65">
        <f>N28/N70</f>
        <v>-8.6567129887782958E-3</v>
      </c>
    </row>
    <row r="432" spans="6:15" outlineLevel="1">
      <c r="F432" t="s">
        <v>230</v>
      </c>
      <c r="J432" s="65">
        <f>J37/J70</f>
        <v>5.1916321446583062E-4</v>
      </c>
      <c r="L432" s="65">
        <f>L37/L70</f>
        <v>5.1916321446583062E-4</v>
      </c>
      <c r="N432" s="65">
        <f>N37/N70</f>
        <v>5.1916321446583062E-4</v>
      </c>
    </row>
    <row r="433" spans="6:23" outlineLevel="1"/>
    <row r="434" spans="6:23" outlineLevel="1">
      <c r="F434" t="s">
        <v>227</v>
      </c>
      <c r="J434" s="26">
        <f>(1/(1-0.5*J38))*((1+J38)*$H68-J37-J84-J38*0.5*H68)</f>
        <v>122.30515698431121</v>
      </c>
      <c r="L434" s="26">
        <f>(1/(1-0.5*L38))*((1+L38)*$H68-L37-L84-L38*0.5*J68)</f>
        <v>120.8183210896127</v>
      </c>
      <c r="N434" s="26">
        <f>(1/(1-0.5*N38))*((1+N38)*$H68-N37-N84-N38*0.5*L68)</f>
        <v>122.2896447749013</v>
      </c>
    </row>
    <row r="435" spans="6:23" outlineLevel="1"/>
    <row r="436" spans="6:23" outlineLevel="1"/>
    <row r="437" spans="6:23" outlineLevel="1"/>
    <row r="438" spans="6:23" outlineLevel="1">
      <c r="F438" t="s">
        <v>109</v>
      </c>
    </row>
    <row r="439" spans="6:23" outlineLevel="1">
      <c r="J439" t="s">
        <v>21</v>
      </c>
      <c r="L439" t="s">
        <v>22</v>
      </c>
      <c r="N439" t="s">
        <v>23</v>
      </c>
    </row>
    <row r="440" spans="6:23" outlineLevel="1">
      <c r="F440" t="s">
        <v>110</v>
      </c>
      <c r="J440" s="37">
        <f>'OPTIONAL FULL MODEL APPENDIX'!$C$6*'External Sector Dashboard'!J4</f>
        <v>223.19999988375179</v>
      </c>
      <c r="L440" s="37">
        <f>'OPTIONAL FULL MODEL APPENDIX'!$C$6*'External Sector Dashboard'!L4</f>
        <v>223.19999988375179</v>
      </c>
      <c r="N440" s="37">
        <f>'OPTIONAL FULL MODEL APPENDIX'!$C$6*'External Sector Dashboard'!N4</f>
        <v>223.19999988375179</v>
      </c>
    </row>
    <row r="441" spans="6:23" outlineLevel="1">
      <c r="F441" t="s">
        <v>111</v>
      </c>
      <c r="J441" s="37">
        <f>'OPTIONAL FULL MODEL APPENDIX'!W116*'External Sector Dashboard'!J3/100</f>
        <v>223.19999988375176</v>
      </c>
      <c r="L441" s="37">
        <f>'OPTIONAL FULL MODEL APPENDIX'!Y116*'External Sector Dashboard'!L3/100</f>
        <v>223.19999988375176</v>
      </c>
      <c r="N441" s="37">
        <f>'OPTIONAL FULL MODEL APPENDIX'!AA116*'External Sector Dashboard'!N3/100</f>
        <v>223.19999988375176</v>
      </c>
    </row>
    <row r="442" spans="6:23" outlineLevel="1">
      <c r="F442" t="s">
        <v>112</v>
      </c>
      <c r="J442" s="37">
        <f>J440-J441</f>
        <v>0</v>
      </c>
      <c r="L442" s="37">
        <f>L440-L441</f>
        <v>0</v>
      </c>
      <c r="N442" s="37">
        <f>N440-N441</f>
        <v>0</v>
      </c>
    </row>
    <row r="443" spans="6:23" outlineLevel="1">
      <c r="F443" t="s">
        <v>113</v>
      </c>
      <c r="J443" s="37">
        <f>J451*$H$448</f>
        <v>40.299999979010742</v>
      </c>
      <c r="L443" s="37">
        <f>L451*$H$448</f>
        <v>40.299999979010742</v>
      </c>
      <c r="N443" s="37">
        <f>N451*$H$448</f>
        <v>40.299999979010742</v>
      </c>
    </row>
    <row r="444" spans="6:23" outlineLevel="1">
      <c r="F444" t="s">
        <v>114</v>
      </c>
      <c r="J444" s="37">
        <f>J442-J443</f>
        <v>-40.299999979010742</v>
      </c>
      <c r="L444" s="37">
        <f>L442-L443</f>
        <v>-40.299999979010742</v>
      </c>
      <c r="N444" s="37">
        <f>N442-N443</f>
        <v>-40.299999979010742</v>
      </c>
    </row>
    <row r="445" spans="6:23" outlineLevel="1"/>
    <row r="446" spans="6:23" outlineLevel="1">
      <c r="F446" t="s">
        <v>115</v>
      </c>
      <c r="J446" s="37">
        <f>$H$448-J444</f>
        <v>660.29999965609909</v>
      </c>
      <c r="L446" s="37">
        <f>$H$448-L444</f>
        <v>660.29999965609909</v>
      </c>
      <c r="N446" s="37">
        <f>$H$448-N444</f>
        <v>660.29999965609909</v>
      </c>
    </row>
    <row r="447" spans="6:23" outlineLevel="1">
      <c r="R447" t="s">
        <v>21</v>
      </c>
      <c r="S447" t="s">
        <v>22</v>
      </c>
      <c r="T447" t="s">
        <v>23</v>
      </c>
    </row>
    <row r="448" spans="6:23" outlineLevel="1">
      <c r="F448" t="s">
        <v>116</v>
      </c>
      <c r="H448" s="50">
        <v>619.99999967708834</v>
      </c>
      <c r="Q448" t="s">
        <v>150</v>
      </c>
      <c r="R448" s="1">
        <f>J462</f>
        <v>0.53249999999999997</v>
      </c>
      <c r="S448" s="1">
        <f>L462</f>
        <v>0.53249999999999997</v>
      </c>
      <c r="T448" s="1">
        <f>N462</f>
        <v>0.53249999999999997</v>
      </c>
      <c r="U448" s="1"/>
      <c r="W448" s="1"/>
    </row>
    <row r="449" spans="6:14" outlineLevel="1">
      <c r="F449" t="s">
        <v>117</v>
      </c>
      <c r="H449" s="39">
        <f>H448/'OPTIONAL FULL MODEL APPENDIX'!C13</f>
        <v>0.5</v>
      </c>
    </row>
    <row r="450" spans="6:14" outlineLevel="1"/>
    <row r="451" spans="6:14" outlineLevel="1">
      <c r="F451" t="s">
        <v>118</v>
      </c>
      <c r="J451" s="33">
        <f>'OPTIONAL FULL MODEL APPENDIX'!W80+'OPTIONAL FULL MODEL APPENDIX'!W74</f>
        <v>6.5000000000000002E-2</v>
      </c>
      <c r="L451" s="33">
        <f>'OPTIONAL FULL MODEL APPENDIX'!Y80+'OPTIONAL FULL MODEL APPENDIX'!Y74</f>
        <v>6.5000000000000002E-2</v>
      </c>
      <c r="N451" s="33">
        <f>'OPTIONAL FULL MODEL APPENDIX'!AA80+'OPTIONAL FULL MODEL APPENDIX'!AA74</f>
        <v>6.5000000000000002E-2</v>
      </c>
    </row>
    <row r="452" spans="6:14" outlineLevel="1"/>
    <row r="453" spans="6:14" outlineLevel="1"/>
    <row r="454" spans="6:14" outlineLevel="1">
      <c r="F454" t="s">
        <v>119</v>
      </c>
    </row>
    <row r="455" spans="6:14" outlineLevel="1"/>
    <row r="456" spans="6:14" outlineLevel="1">
      <c r="F456" t="s">
        <v>110</v>
      </c>
      <c r="J456" s="33">
        <f>J440/J$4</f>
        <v>0.18</v>
      </c>
      <c r="L456" s="33">
        <f>L440/L$4</f>
        <v>0.18</v>
      </c>
      <c r="N456" s="33">
        <f>N440/N$4</f>
        <v>0.18</v>
      </c>
    </row>
    <row r="457" spans="6:14" outlineLevel="1">
      <c r="F457" t="s">
        <v>111</v>
      </c>
      <c r="J457" s="33">
        <f>J441/J$4</f>
        <v>0.17999999999999997</v>
      </c>
      <c r="L457" s="33">
        <f>L441/L$4</f>
        <v>0.17999999999999997</v>
      </c>
      <c r="N457" s="33">
        <f>N441/N$4</f>
        <v>0.17999999999999997</v>
      </c>
    </row>
    <row r="458" spans="6:14" outlineLevel="1">
      <c r="F458" t="s">
        <v>112</v>
      </c>
      <c r="J458" s="33">
        <f>J442/J$4</f>
        <v>0</v>
      </c>
      <c r="L458" s="33">
        <f>L442/L$4</f>
        <v>0</v>
      </c>
      <c r="N458" s="33">
        <f>N442/N$4</f>
        <v>0</v>
      </c>
    </row>
    <row r="459" spans="6:14" outlineLevel="1">
      <c r="F459" t="s">
        <v>113</v>
      </c>
      <c r="J459" s="33">
        <f>J443/J$4</f>
        <v>3.2500000000000001E-2</v>
      </c>
      <c r="L459" s="33">
        <f>L443/L$4</f>
        <v>3.2500000000000001E-2</v>
      </c>
      <c r="N459" s="33">
        <f>N443/N$4</f>
        <v>3.2500000000000001E-2</v>
      </c>
    </row>
    <row r="460" spans="6:14" outlineLevel="1">
      <c r="F460" t="s">
        <v>114</v>
      </c>
      <c r="J460" s="33">
        <f>J444/J$4</f>
        <v>-3.2500000000000001E-2</v>
      </c>
      <c r="L460" s="33">
        <f>L444/L$4</f>
        <v>-3.2500000000000001E-2</v>
      </c>
      <c r="N460" s="33">
        <f>N444/N$4</f>
        <v>-3.2500000000000001E-2</v>
      </c>
    </row>
    <row r="461" spans="6:14" outlineLevel="1"/>
    <row r="462" spans="6:14" outlineLevel="1">
      <c r="F462" t="s">
        <v>115</v>
      </c>
      <c r="J462" s="33">
        <f>J446/J$4</f>
        <v>0.53249999999999997</v>
      </c>
      <c r="L462" s="33">
        <f>L446/L$4</f>
        <v>0.53249999999999997</v>
      </c>
      <c r="N462" s="33">
        <f>N446/N$4</f>
        <v>0.53249999999999997</v>
      </c>
    </row>
    <row r="463" spans="6:14" outlineLevel="1"/>
    <row r="464" spans="6:14" outlineLevel="1"/>
    <row r="465" spans="6:21" outlineLevel="1">
      <c r="F465" t="s">
        <v>120</v>
      </c>
      <c r="J465" s="37">
        <f>-J444</f>
        <v>40.299999979010742</v>
      </c>
      <c r="L465" s="37">
        <f>-L444</f>
        <v>40.299999979010742</v>
      </c>
      <c r="N465" s="37">
        <f>-N444</f>
        <v>40.299999979010742</v>
      </c>
    </row>
    <row r="466" spans="6:21" outlineLevel="1">
      <c r="F466" t="s">
        <v>121</v>
      </c>
      <c r="J466" s="37">
        <f>J471*J465</f>
        <v>0</v>
      </c>
      <c r="L466" s="37">
        <f>L471*L465</f>
        <v>0</v>
      </c>
      <c r="N466" s="37">
        <f>N471*N465</f>
        <v>8.0599999958021495</v>
      </c>
    </row>
    <row r="467" spans="6:21" outlineLevel="1">
      <c r="F467" t="s">
        <v>122</v>
      </c>
      <c r="J467" s="37">
        <f>J472*J466</f>
        <v>0</v>
      </c>
      <c r="L467" s="37">
        <f>L472*L466</f>
        <v>0</v>
      </c>
      <c r="N467" s="37">
        <f>N472*N466</f>
        <v>8.0599999958021495</v>
      </c>
    </row>
    <row r="468" spans="6:21" outlineLevel="1">
      <c r="F468" t="s">
        <v>123</v>
      </c>
      <c r="J468" s="37">
        <f>J465-J466</f>
        <v>40.299999979010742</v>
      </c>
      <c r="L468" s="37">
        <f>L465-L466</f>
        <v>40.299999979010742</v>
      </c>
      <c r="N468" s="37">
        <f>N465-N466</f>
        <v>32.239999983208591</v>
      </c>
    </row>
    <row r="469" spans="6:21" outlineLevel="1"/>
    <row r="470" spans="6:21" outlineLevel="1">
      <c r="S470" t="s">
        <v>21</v>
      </c>
      <c r="T470" t="s">
        <v>22</v>
      </c>
      <c r="U470" t="s">
        <v>23</v>
      </c>
    </row>
    <row r="471" spans="6:21" outlineLevel="1">
      <c r="F471" t="s">
        <v>124</v>
      </c>
      <c r="J471">
        <v>0</v>
      </c>
      <c r="L471">
        <v>0</v>
      </c>
      <c r="N471">
        <v>0.2</v>
      </c>
      <c r="R471" t="s">
        <v>149</v>
      </c>
      <c r="S471" s="26">
        <f>J490</f>
        <v>26.801931751469738</v>
      </c>
      <c r="T471" s="26">
        <f>L490</f>
        <v>26.801931751469738</v>
      </c>
      <c r="U471" s="26">
        <f>N490</f>
        <v>17.129931756507162</v>
      </c>
    </row>
    <row r="472" spans="6:21" outlineLevel="1">
      <c r="F472" t="s">
        <v>125</v>
      </c>
      <c r="J472">
        <v>0</v>
      </c>
      <c r="L472">
        <v>0</v>
      </c>
      <c r="N472">
        <v>1</v>
      </c>
    </row>
    <row r="473" spans="6:21" outlineLevel="1"/>
    <row r="474" spans="6:21" outlineLevel="1">
      <c r="F474" t="s">
        <v>119</v>
      </c>
    </row>
    <row r="475" spans="6:21" outlineLevel="1"/>
    <row r="476" spans="6:21" outlineLevel="1">
      <c r="F476" t="s">
        <v>126</v>
      </c>
      <c r="J476" s="33">
        <f>J465/J$4</f>
        <v>3.2500000000000001E-2</v>
      </c>
      <c r="L476" s="33">
        <f>L465/L$4</f>
        <v>3.2500000000000001E-2</v>
      </c>
      <c r="N476" s="33">
        <f>N465/N$4</f>
        <v>3.2500000000000001E-2</v>
      </c>
    </row>
    <row r="477" spans="6:21" outlineLevel="1">
      <c r="F477" t="s">
        <v>121</v>
      </c>
      <c r="J477" s="33">
        <f>J466/J$4</f>
        <v>0</v>
      </c>
      <c r="L477" s="33">
        <f>L466/L$4</f>
        <v>0</v>
      </c>
      <c r="N477" s="33">
        <f>N466/N$4</f>
        <v>6.5000000000000006E-3</v>
      </c>
    </row>
    <row r="478" spans="6:21" outlineLevel="1">
      <c r="F478" t="s">
        <v>122</v>
      </c>
      <c r="J478" s="40">
        <f>J467/J$4</f>
        <v>0</v>
      </c>
      <c r="L478" s="40">
        <f>L467/L$4</f>
        <v>0</v>
      </c>
      <c r="N478" s="40">
        <f>N467/N$4</f>
        <v>6.5000000000000006E-3</v>
      </c>
    </row>
    <row r="479" spans="6:21" outlineLevel="1">
      <c r="F479" t="s">
        <v>123</v>
      </c>
      <c r="J479" s="33">
        <f>J468/J$4</f>
        <v>3.2500000000000001E-2</v>
      </c>
      <c r="L479" s="33">
        <f>L468/L$4</f>
        <v>3.2500000000000001E-2</v>
      </c>
      <c r="N479" s="33">
        <f>N468/N$4</f>
        <v>2.5999999999999999E-2</v>
      </c>
    </row>
    <row r="480" spans="6:21" outlineLevel="1"/>
    <row r="481" spans="6:14" outlineLevel="1">
      <c r="F481" t="s">
        <v>127</v>
      </c>
    </row>
    <row r="482" spans="6:14" outlineLevel="1">
      <c r="J482" t="s">
        <v>21</v>
      </c>
      <c r="L482" t="s">
        <v>22</v>
      </c>
      <c r="N482" t="s">
        <v>23</v>
      </c>
    </row>
    <row r="483" spans="6:14" outlineLevel="1">
      <c r="F483" t="s">
        <v>128</v>
      </c>
    </row>
    <row r="484" spans="6:14" outlineLevel="1">
      <c r="F484" t="s">
        <v>129</v>
      </c>
      <c r="J484" s="52">
        <f>J485+J486+J487</f>
        <v>28.031931751469738</v>
      </c>
      <c r="K484" s="51"/>
      <c r="L484" s="52">
        <f>L485+L486+L487</f>
        <v>28.031931751469738</v>
      </c>
      <c r="M484" s="51"/>
      <c r="N484" s="52">
        <f>N485+N486+N487</f>
        <v>28.031931751469738</v>
      </c>
    </row>
    <row r="485" spans="6:14" outlineLevel="1">
      <c r="F485" t="s">
        <v>130</v>
      </c>
      <c r="J485" s="37">
        <f>$H$505*(1+'OPTIONAL FULL MODEL APPENDIX'!W74+$H$511*'OPTIONAL FULL MODEL APPENDIX'!W67+$H$515*('OPTIONAL FULL MODEL APPENDIX'!W80+'OPTIONAL FULL MODEL APPENDIX'!W74-'OPTIONAL FULL MODEL APPENDIX'!$C$34-'OPTIONAL FULL MODEL APPENDIX'!$C$31))</f>
        <v>1.9159317649674454</v>
      </c>
      <c r="K485" s="26"/>
      <c r="L485" s="37">
        <f>$H$505*(1+'OPTIONAL FULL MODEL APPENDIX'!Y74+$H$511*'OPTIONAL FULL MODEL APPENDIX'!Y67+$H$515*('OPTIONAL FULL MODEL APPENDIX'!Y80+'OPTIONAL FULL MODEL APPENDIX'!Y74-'OPTIONAL FULL MODEL APPENDIX'!$C$34-'OPTIONAL FULL MODEL APPENDIX'!$C$31))</f>
        <v>1.9159317649674454</v>
      </c>
      <c r="M485" s="26"/>
      <c r="N485" s="37">
        <f>$H$505*(1+'OPTIONAL FULL MODEL APPENDIX'!AA74+$H$511*'OPTIONAL FULL MODEL APPENDIX'!AA67+$H$515*('OPTIONAL FULL MODEL APPENDIX'!AA80+'OPTIONAL FULL MODEL APPENDIX'!AA74-'OPTIONAL FULL MODEL APPENDIX'!$C$34-'OPTIONAL FULL MODEL APPENDIX'!$C$31))</f>
        <v>1.9159317649674454</v>
      </c>
    </row>
    <row r="486" spans="6:14" outlineLevel="1">
      <c r="F486" t="s">
        <v>131</v>
      </c>
      <c r="J486" s="37">
        <f>$H$508*'OPTIONAL FULL MODEL APPENDIX'!$C$13*(1+'OPTIONAL FULL MODEL APPENDIX'!W74+$H$511*'OPTIONAL FULL MODEL APPENDIX'!W67+$H$515*('OPTIONAL FULL MODEL APPENDIX'!W80+'OPTIONAL FULL MODEL APPENDIX'!W74-'OPTIONAL FULL MODEL APPENDIX'!$C$34-'OPTIONAL FULL MODEL APPENDIX'!$C$31))</f>
        <v>25.915999986502293</v>
      </c>
      <c r="K486" s="26"/>
      <c r="L486" s="37">
        <f>$H$508*'OPTIONAL FULL MODEL APPENDIX'!$C$13*(1+'OPTIONAL FULL MODEL APPENDIX'!Y74+$H$511*'OPTIONAL FULL MODEL APPENDIX'!Y67+$H$515*('OPTIONAL FULL MODEL APPENDIX'!Y80+'OPTIONAL FULL MODEL APPENDIX'!Y74-'OPTIONAL FULL MODEL APPENDIX'!$C$34-'OPTIONAL FULL MODEL APPENDIX'!$C$31))</f>
        <v>25.915999986502293</v>
      </c>
      <c r="M486" s="26"/>
      <c r="N486" s="37">
        <f>$H$508*'OPTIONAL FULL MODEL APPENDIX'!$C$13*(1+'OPTIONAL FULL MODEL APPENDIX'!AA74+$H$511*'OPTIONAL FULL MODEL APPENDIX'!AA67+$H$515*('OPTIONAL FULL MODEL APPENDIX'!AA80+'OPTIONAL FULL MODEL APPENDIX'!AA74-'OPTIONAL FULL MODEL APPENDIX'!$C$34-'OPTIONAL FULL MODEL APPENDIX'!$C$31))</f>
        <v>25.915999986502293</v>
      </c>
    </row>
    <row r="487" spans="6:14" outlineLevel="1">
      <c r="F487" t="s">
        <v>132</v>
      </c>
      <c r="J487" s="37">
        <v>0.2</v>
      </c>
      <c r="K487" s="26"/>
      <c r="L487" s="37">
        <v>0.2</v>
      </c>
      <c r="M487" s="26"/>
      <c r="N487" s="37">
        <v>0.2</v>
      </c>
    </row>
    <row r="488" spans="6:14" outlineLevel="1"/>
    <row r="489" spans="6:14" outlineLevel="1">
      <c r="F489" t="s">
        <v>133</v>
      </c>
      <c r="J489" s="37">
        <f>J484</f>
        <v>28.031931751469738</v>
      </c>
      <c r="L489" s="37">
        <f>L484</f>
        <v>28.031931751469738</v>
      </c>
      <c r="N489" s="37">
        <f>N484</f>
        <v>28.031931751469738</v>
      </c>
    </row>
    <row r="490" spans="6:14" outlineLevel="1">
      <c r="F490" t="s">
        <v>134</v>
      </c>
      <c r="J490" s="41">
        <f>J489-J491</f>
        <v>26.801931751469738</v>
      </c>
      <c r="L490" s="41">
        <f>L489-L491</f>
        <v>26.801931751469738</v>
      </c>
      <c r="N490" s="41">
        <f>N489-N491</f>
        <v>17.129931756507162</v>
      </c>
    </row>
    <row r="491" spans="6:14" outlineLevel="1">
      <c r="F491" t="s">
        <v>135</v>
      </c>
      <c r="J491" s="37">
        <f>J492+J493+J494</f>
        <v>1.23</v>
      </c>
      <c r="L491" s="37">
        <f>L492+L493+L494</f>
        <v>1.23</v>
      </c>
      <c r="N491" s="37">
        <f>N492+N493+N494</f>
        <v>10.901999994962578</v>
      </c>
    </row>
    <row r="492" spans="6:14" outlineLevel="1">
      <c r="F492" t="s">
        <v>136</v>
      </c>
      <c r="H492">
        <v>1</v>
      </c>
      <c r="J492" s="40">
        <f>$H$492+J467</f>
        <v>1</v>
      </c>
      <c r="L492" s="40">
        <f>$H$492+L467</f>
        <v>1</v>
      </c>
      <c r="N492" s="40">
        <f>$H$492+N467</f>
        <v>9.0599999958021495</v>
      </c>
    </row>
    <row r="493" spans="6:14" outlineLevel="1">
      <c r="F493" t="s">
        <v>137</v>
      </c>
      <c r="J493" s="37">
        <f>J492/5</f>
        <v>0.2</v>
      </c>
      <c r="L493" s="37">
        <f>L492/5</f>
        <v>0.2</v>
      </c>
      <c r="N493" s="37">
        <f>N492/5</f>
        <v>1.8119999991604299</v>
      </c>
    </row>
    <row r="494" spans="6:14" outlineLevel="1">
      <c r="F494" t="s">
        <v>138</v>
      </c>
      <c r="J494" s="37">
        <v>0.03</v>
      </c>
      <c r="L494" s="37">
        <v>0.03</v>
      </c>
      <c r="N494" s="37">
        <v>0.03</v>
      </c>
    </row>
    <row r="495" spans="6:14" outlineLevel="1"/>
    <row r="496" spans="6:14" outlineLevel="1"/>
    <row r="497" spans="6:14" outlineLevel="1">
      <c r="F497" s="42" t="s">
        <v>139</v>
      </c>
    </row>
    <row r="498" spans="6:14" outlineLevel="1">
      <c r="F498" s="42" t="s">
        <v>140</v>
      </c>
      <c r="G498" s="43"/>
      <c r="H498" s="43"/>
      <c r="I498" s="43"/>
      <c r="J498" s="44"/>
      <c r="K498" s="45"/>
      <c r="L498" s="46">
        <f>L490-$J$490</f>
        <v>0</v>
      </c>
      <c r="M498" s="45"/>
      <c r="N498" s="46">
        <f>N490-$J$490</f>
        <v>-9.6719999949625759</v>
      </c>
    </row>
    <row r="499" spans="6:14" outlineLevel="1">
      <c r="F499" s="42" t="s">
        <v>141</v>
      </c>
      <c r="G499" s="43"/>
      <c r="H499" s="43"/>
      <c r="I499" s="43"/>
      <c r="J499" s="47"/>
      <c r="K499" s="48"/>
      <c r="L499" s="49">
        <f>L498/J4</f>
        <v>0</v>
      </c>
      <c r="M499" s="48"/>
      <c r="N499" s="49">
        <f>N498/L4</f>
        <v>-7.7999999999999979E-3</v>
      </c>
    </row>
    <row r="500" spans="6:14" outlineLevel="1"/>
    <row r="501" spans="6:14" outlineLevel="1">
      <c r="J501" s="51"/>
    </row>
    <row r="502" spans="6:14" outlineLevel="1"/>
    <row r="503" spans="6:14" outlineLevel="1"/>
    <row r="504" spans="6:14" outlineLevel="1"/>
    <row r="505" spans="6:14" outlineLevel="1">
      <c r="F505" t="s">
        <v>142</v>
      </c>
      <c r="H505" s="38">
        <v>1.8334275262846369</v>
      </c>
    </row>
    <row r="506" spans="6:14" outlineLevel="1">
      <c r="F506" t="s">
        <v>117</v>
      </c>
      <c r="H506" s="39">
        <f>H505/'OPTIONAL FULL MODEL APPENDIX'!C13</f>
        <v>1.4785705864834937E-3</v>
      </c>
    </row>
    <row r="507" spans="6:14" outlineLevel="1">
      <c r="F507" t="s">
        <v>143</v>
      </c>
      <c r="H507" s="50">
        <f>1/H506</f>
        <v>676.32888760374624</v>
      </c>
    </row>
    <row r="508" spans="6:14" outlineLevel="1">
      <c r="F508" t="s">
        <v>144</v>
      </c>
      <c r="H508" s="39">
        <v>0.02</v>
      </c>
    </row>
    <row r="509" spans="6:14" outlineLevel="1"/>
    <row r="510" spans="6:14" outlineLevel="1">
      <c r="F510" t="s">
        <v>145</v>
      </c>
    </row>
    <row r="511" spans="6:14" outlineLevel="1">
      <c r="F511" t="s">
        <v>146</v>
      </c>
      <c r="H511">
        <v>1</v>
      </c>
    </row>
    <row r="512" spans="6:14" outlineLevel="1"/>
    <row r="513" spans="6:8" outlineLevel="1">
      <c r="F513" t="s">
        <v>147</v>
      </c>
      <c r="H513">
        <v>1</v>
      </c>
    </row>
    <row r="514" spans="6:8" outlineLevel="1"/>
    <row r="515" spans="6:8" outlineLevel="1">
      <c r="F515" t="s">
        <v>148</v>
      </c>
      <c r="H515">
        <v>-0.9</v>
      </c>
    </row>
    <row r="516" spans="6:8" outlineLevel="1"/>
    <row r="517" spans="6:8" outlineLevel="1"/>
    <row r="518" spans="6:8" outlineLevel="1"/>
  </sheetData>
  <sheetProtection algorithmName="SHA-512" hashValue="FppaXYWE52VnBJF5+UDIDQ4C/dUrFS5YkBVg7xlFede2qTgVgaCvyfYll2mwdK9Vlv6yod8kxhQbrpaRoFWERA==" saltValue="W8B1ZSZ5FN1Rd3X7L5HpGg==" spinCount="100000" sheet="1" objects="1" scenarios="1"/>
  <protectedRanges>
    <protectedRange sqref="N55" name="Range3"/>
    <protectedRange sqref="L55" name="Range2"/>
    <protectedRange sqref="J55" name="Range1"/>
  </protectedRange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DSMT4" shapeId="14362" r:id="rId4">
          <objectPr defaultSize="0" autoPict="0" r:id="rId5">
            <anchor moveWithCells="1">
              <from>
                <xdr:col>16</xdr:col>
                <xdr:colOff>1085850</xdr:colOff>
                <xdr:row>35</xdr:row>
                <xdr:rowOff>9525</xdr:rowOff>
              </from>
              <to>
                <xdr:col>23</xdr:col>
                <xdr:colOff>438150</xdr:colOff>
                <xdr:row>37</xdr:row>
                <xdr:rowOff>28575</xdr:rowOff>
              </to>
            </anchor>
          </objectPr>
        </oleObject>
      </mc:Choice>
      <mc:Fallback>
        <oleObject progId="Equation.DSMT4" shapeId="14362" r:id="rId4"/>
      </mc:Fallback>
    </mc:AlternateContent>
    <mc:AlternateContent xmlns:mc="http://schemas.openxmlformats.org/markup-compatibility/2006">
      <mc:Choice Requires="x14">
        <oleObject progId="Equation.DSMT4" shapeId="14363" r:id="rId6">
          <objectPr defaultSize="0" autoPict="0" r:id="rId7">
            <anchor moveWithCells="1">
              <from>
                <xdr:col>5</xdr:col>
                <xdr:colOff>2495550</xdr:colOff>
                <xdr:row>75</xdr:row>
                <xdr:rowOff>161925</xdr:rowOff>
              </from>
              <to>
                <xdr:col>7</xdr:col>
                <xdr:colOff>257175</xdr:colOff>
                <xdr:row>77</xdr:row>
                <xdr:rowOff>66675</xdr:rowOff>
              </to>
            </anchor>
          </objectPr>
        </oleObject>
      </mc:Choice>
      <mc:Fallback>
        <oleObject progId="Equation.DSMT4" shapeId="14363" r:id="rId6"/>
      </mc:Fallback>
    </mc:AlternateContent>
    <mc:AlternateContent xmlns:mc="http://schemas.openxmlformats.org/markup-compatibility/2006">
      <mc:Choice Requires="x14">
        <oleObject progId="Equation.DSMT4" shapeId="14364" r:id="rId8">
          <objectPr defaultSize="0" autoPict="0" r:id="rId7">
            <anchor moveWithCells="1">
              <from>
                <xdr:col>5</xdr:col>
                <xdr:colOff>2457450</xdr:colOff>
                <xdr:row>279</xdr:row>
                <xdr:rowOff>152400</xdr:rowOff>
              </from>
              <to>
                <xdr:col>6</xdr:col>
                <xdr:colOff>590550</xdr:colOff>
                <xdr:row>281</xdr:row>
                <xdr:rowOff>0</xdr:rowOff>
              </to>
            </anchor>
          </objectPr>
        </oleObject>
      </mc:Choice>
      <mc:Fallback>
        <oleObject progId="Equation.DSMT4" shapeId="14364" r:id="rId8"/>
      </mc:Fallback>
    </mc:AlternateContent>
    <mc:AlternateContent xmlns:mc="http://schemas.openxmlformats.org/markup-compatibility/2006">
      <mc:Choice Requires="x14">
        <oleObject progId="Equation.DSMT4" shapeId="14366" r:id="rId9">
          <objectPr defaultSize="0" autoPict="0" r:id="rId7">
            <anchor moveWithCells="1">
              <from>
                <xdr:col>5</xdr:col>
                <xdr:colOff>2495550</xdr:colOff>
                <xdr:row>340</xdr:row>
                <xdr:rowOff>161925</xdr:rowOff>
              </from>
              <to>
                <xdr:col>7</xdr:col>
                <xdr:colOff>247650</xdr:colOff>
                <xdr:row>342</xdr:row>
                <xdr:rowOff>66675</xdr:rowOff>
              </to>
            </anchor>
          </objectPr>
        </oleObject>
      </mc:Choice>
      <mc:Fallback>
        <oleObject progId="Equation.DSMT4" shapeId="14366" r:id="rId9"/>
      </mc:Fallback>
    </mc:AlternateContent>
    <mc:AlternateContent xmlns:mc="http://schemas.openxmlformats.org/markup-compatibility/2006">
      <mc:Choice Requires="x14">
        <oleObject progId="Equation.DSMT4" shapeId="14367" r:id="rId10">
          <objectPr defaultSize="0" autoPict="0" r:id="rId7">
            <anchor moveWithCells="1">
              <from>
                <xdr:col>5</xdr:col>
                <xdr:colOff>2495550</xdr:colOff>
                <xdr:row>152</xdr:row>
                <xdr:rowOff>161925</xdr:rowOff>
              </from>
              <to>
                <xdr:col>7</xdr:col>
                <xdr:colOff>257175</xdr:colOff>
                <xdr:row>154</xdr:row>
                <xdr:rowOff>66675</xdr:rowOff>
              </to>
            </anchor>
          </objectPr>
        </oleObject>
      </mc:Choice>
      <mc:Fallback>
        <oleObject progId="Equation.DSMT4" shapeId="14367" r:id="rId10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M4" sqref="M4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A16" zoomScale="140" zoomScaleNormal="140" workbookViewId="0">
      <selection activeCell="K25" sqref="K25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I2:AB40"/>
  <sheetViews>
    <sheetView showGridLines="0" zoomScale="70" zoomScaleNormal="70" workbookViewId="0">
      <selection activeCell="AG15" sqref="AG15"/>
    </sheetView>
  </sheetViews>
  <sheetFormatPr defaultRowHeight="15"/>
  <sheetData>
    <row r="2" spans="9:28">
      <c r="T2" s="34" t="s">
        <v>151</v>
      </c>
      <c r="V2" t="s">
        <v>152</v>
      </c>
      <c r="Z2" t="s">
        <v>153</v>
      </c>
    </row>
    <row r="5" spans="9:28">
      <c r="V5" s="34" t="s">
        <v>21</v>
      </c>
      <c r="W5" s="34" t="s">
        <v>154</v>
      </c>
      <c r="X5" s="34" t="s">
        <v>155</v>
      </c>
      <c r="Z5" s="34" t="s">
        <v>21</v>
      </c>
      <c r="AA5" s="34" t="s">
        <v>154</v>
      </c>
      <c r="AB5" s="34" t="s">
        <v>155</v>
      </c>
    </row>
    <row r="7" spans="9:28">
      <c r="T7" s="1">
        <f t="shared" ref="T7:T13" si="0">T8+$T$23</f>
        <v>3.5000000000000003E-2</v>
      </c>
      <c r="V7" s="39">
        <f t="shared" ref="V7:X14" si="1">-($I$12/$I$15)*$T7+V$23/$I$15</f>
        <v>-4.215399999999999E-2</v>
      </c>
      <c r="W7" s="39">
        <f t="shared" si="1"/>
        <v>-7.1753999999999984E-2</v>
      </c>
      <c r="X7" s="39">
        <f t="shared" si="1"/>
        <v>-4.215399999999999E-2</v>
      </c>
      <c r="Z7" s="6">
        <f t="shared" ref="Z7:AB14" si="2">-($I$22/$I$26)*$T7+Z$23/$I$26</f>
        <v>5.9150000000000001E-2</v>
      </c>
      <c r="AA7" s="6">
        <f t="shared" si="2"/>
        <v>4.6200000000000005E-2</v>
      </c>
      <c r="AB7" s="6">
        <f t="shared" si="2"/>
        <v>5.9150000000000001E-2</v>
      </c>
    </row>
    <row r="8" spans="9:28">
      <c r="T8" s="1">
        <f t="shared" si="0"/>
        <v>3.0000000000000002E-2</v>
      </c>
      <c r="V8" s="39">
        <f t="shared" si="1"/>
        <v>-3.6131999999999991E-2</v>
      </c>
      <c r="W8" s="39">
        <f t="shared" si="1"/>
        <v>-6.5731999999999985E-2</v>
      </c>
      <c r="X8" s="39">
        <f t="shared" si="1"/>
        <v>-3.6131999999999991E-2</v>
      </c>
      <c r="Z8" s="6">
        <f t="shared" si="2"/>
        <v>5.0700000000000002E-2</v>
      </c>
      <c r="AA8" s="6">
        <f t="shared" si="2"/>
        <v>3.7750000000000006E-2</v>
      </c>
      <c r="AB8" s="6">
        <f t="shared" si="2"/>
        <v>5.0700000000000002E-2</v>
      </c>
    </row>
    <row r="9" spans="9:28">
      <c r="I9" s="4">
        <f>(1-'OPTIONAL FULL MODEL APPENDIX'!N14+'OPTIONAL FULL MODEL APPENDIX'!F32)</f>
        <v>0.51800000000000002</v>
      </c>
      <c r="T9" s="1">
        <f t="shared" si="0"/>
        <v>2.5000000000000001E-2</v>
      </c>
      <c r="V9" s="39">
        <f t="shared" si="1"/>
        <v>-3.0109999999999994E-2</v>
      </c>
      <c r="W9" s="39">
        <f t="shared" si="1"/>
        <v>-5.9709999999999992E-2</v>
      </c>
      <c r="X9" s="39">
        <f t="shared" si="1"/>
        <v>-3.0109999999999994E-2</v>
      </c>
      <c r="Z9" s="6">
        <f t="shared" si="2"/>
        <v>4.2250000000000003E-2</v>
      </c>
      <c r="AA9" s="6">
        <f t="shared" si="2"/>
        <v>2.9300000000000003E-2</v>
      </c>
      <c r="AB9" s="6">
        <f t="shared" si="2"/>
        <v>4.2250000000000003E-2</v>
      </c>
    </row>
    <row r="10" spans="9:28">
      <c r="T10" s="1">
        <f t="shared" si="0"/>
        <v>0.02</v>
      </c>
      <c r="V10" s="39">
        <f t="shared" si="1"/>
        <v>-2.4087999999999995E-2</v>
      </c>
      <c r="W10" s="39">
        <f t="shared" si="1"/>
        <v>-5.3687999999999993E-2</v>
      </c>
      <c r="X10" s="39">
        <f t="shared" si="1"/>
        <v>-2.4087999999999995E-2</v>
      </c>
      <c r="Z10" s="6">
        <f t="shared" si="2"/>
        <v>3.3799999999999997E-2</v>
      </c>
      <c r="AA10" s="6">
        <f t="shared" si="2"/>
        <v>2.0849999999999997E-2</v>
      </c>
      <c r="AB10" s="6">
        <f t="shared" si="2"/>
        <v>3.3799999999999997E-2</v>
      </c>
    </row>
    <row r="11" spans="9:28">
      <c r="T11" s="1">
        <f t="shared" si="0"/>
        <v>1.4999999999999999E-2</v>
      </c>
      <c r="V11" s="39">
        <f t="shared" si="1"/>
        <v>-1.8065999999999995E-2</v>
      </c>
      <c r="W11" s="39">
        <f t="shared" si="1"/>
        <v>-4.7665999999999993E-2</v>
      </c>
      <c r="X11" s="39">
        <f t="shared" si="1"/>
        <v>-1.8065999999999995E-2</v>
      </c>
      <c r="Z11" s="6">
        <f t="shared" si="2"/>
        <v>2.5349999999999998E-2</v>
      </c>
      <c r="AA11" s="6">
        <f t="shared" si="2"/>
        <v>1.2399999999999998E-2</v>
      </c>
      <c r="AB11" s="6">
        <f t="shared" si="2"/>
        <v>2.5349999999999998E-2</v>
      </c>
    </row>
    <row r="12" spans="9:28">
      <c r="I12" s="4">
        <f>-('OPTIONAL FULL MODEL APPENDIX'!F26-'OPTIONAL FULL MODEL APPENDIX'!I32)-'OPTIONAL FULL MODEL APPENDIX'!F32*('OPTIONAL FULL MODEL APPENDIX'!K14-'OPTIONAL FULL MODEL APPENDIX'!H46)/I9</f>
        <v>-0.81378378378378369</v>
      </c>
      <c r="K12" s="26">
        <f>-('OPTIONAL FULL MODEL APPENDIX'!F26-'OPTIONAL FULL MODEL APPENDIX'!I32)</f>
        <v>-1.44</v>
      </c>
      <c r="L12" s="26">
        <f>'OPTIONAL FULL MODEL APPENDIX'!F32*('OPTIONAL FULL MODEL APPENDIX'!K14-'OPTIONAL FULL MODEL APPENDIX'!H46)/I9</f>
        <v>-0.62621621621621626</v>
      </c>
      <c r="T12" s="1">
        <f t="shared" si="0"/>
        <v>0.01</v>
      </c>
      <c r="V12" s="39">
        <f t="shared" si="1"/>
        <v>-1.2043999999999997E-2</v>
      </c>
      <c r="W12" s="39">
        <f t="shared" si="1"/>
        <v>-4.1643999999999994E-2</v>
      </c>
      <c r="X12" s="39">
        <f t="shared" si="1"/>
        <v>-1.2043999999999997E-2</v>
      </c>
      <c r="Z12" s="6">
        <f t="shared" si="2"/>
        <v>1.6899999999999998E-2</v>
      </c>
      <c r="AA12" s="6">
        <f t="shared" si="2"/>
        <v>3.9499999999999987E-3</v>
      </c>
      <c r="AB12" s="6">
        <f t="shared" si="2"/>
        <v>1.6899999999999998E-2</v>
      </c>
    </row>
    <row r="13" spans="9:28">
      <c r="T13" s="1">
        <f t="shared" si="0"/>
        <v>5.0000000000000001E-3</v>
      </c>
      <c r="V13" s="39">
        <f t="shared" si="1"/>
        <v>-6.0219999999999987E-3</v>
      </c>
      <c r="W13" s="39">
        <f t="shared" si="1"/>
        <v>-3.5621999999999994E-2</v>
      </c>
      <c r="X13" s="39">
        <f t="shared" si="1"/>
        <v>-6.0219999999999987E-3</v>
      </c>
      <c r="Z13" s="6">
        <f t="shared" si="2"/>
        <v>8.4499999999999992E-3</v>
      </c>
      <c r="AA13" s="6">
        <f t="shared" si="2"/>
        <v>-4.5000000000000005E-3</v>
      </c>
      <c r="AB13" s="6">
        <f t="shared" si="2"/>
        <v>8.4499999999999992E-3</v>
      </c>
    </row>
    <row r="14" spans="9:28">
      <c r="T14" s="1">
        <v>0</v>
      </c>
      <c r="V14" s="39">
        <f>-($I$12/$I$15)*$T14+V$23/$I$15</f>
        <v>0</v>
      </c>
      <c r="W14" s="39">
        <f t="shared" si="1"/>
        <v>-2.9599999999999998E-2</v>
      </c>
      <c r="X14" s="39">
        <f t="shared" si="1"/>
        <v>0</v>
      </c>
      <c r="Z14" s="6">
        <f>-($I$22/$I$26)*$T14+Z$23/$I$26</f>
        <v>0</v>
      </c>
      <c r="AA14" s="6">
        <f t="shared" si="2"/>
        <v>-1.295E-2</v>
      </c>
      <c r="AB14" s="6">
        <f t="shared" si="2"/>
        <v>0</v>
      </c>
    </row>
    <row r="15" spans="9:28">
      <c r="I15" s="4">
        <f>-'OPTIONAL FULL MODEL APPENDIX'!F32/'NEW Assignment Problem'!I9</f>
        <v>-0.67567567567567577</v>
      </c>
      <c r="T15" s="1">
        <f t="shared" ref="T15:T21" si="3">T14-$T$23</f>
        <v>-5.0000000000000001E-3</v>
      </c>
      <c r="V15" s="39">
        <f t="shared" ref="V15:X21" si="4">-($I$12/$I$15)*$T15+V$23/$I$15</f>
        <v>6.0219999999999987E-3</v>
      </c>
      <c r="W15" s="39">
        <f t="shared" si="4"/>
        <v>-2.3577999999999998E-2</v>
      </c>
      <c r="X15" s="39">
        <f t="shared" si="4"/>
        <v>6.0219999999999987E-3</v>
      </c>
      <c r="Z15" s="6">
        <f t="shared" ref="Z15:AB21" si="5">-($I$22/$I$26)*$T15+Z$23/$I$26</f>
        <v>-8.4499999999999992E-3</v>
      </c>
      <c r="AA15" s="6">
        <f t="shared" si="5"/>
        <v>-2.1399999999999999E-2</v>
      </c>
      <c r="AB15" s="6">
        <f t="shared" si="5"/>
        <v>-8.4499999999999992E-3</v>
      </c>
    </row>
    <row r="16" spans="9:28">
      <c r="T16" s="1">
        <f t="shared" si="3"/>
        <v>-0.01</v>
      </c>
      <c r="V16" s="39">
        <f t="shared" si="4"/>
        <v>1.2043999999999997E-2</v>
      </c>
      <c r="W16" s="39">
        <f t="shared" si="4"/>
        <v>-1.7556000000000002E-2</v>
      </c>
      <c r="X16" s="39">
        <f t="shared" si="4"/>
        <v>1.2043999999999997E-2</v>
      </c>
      <c r="Z16" s="6">
        <f t="shared" si="5"/>
        <v>-1.6899999999999998E-2</v>
      </c>
      <c r="AA16" s="6">
        <f t="shared" si="5"/>
        <v>-2.9849999999999998E-2</v>
      </c>
      <c r="AB16" s="6">
        <f t="shared" si="5"/>
        <v>-1.6899999999999998E-2</v>
      </c>
    </row>
    <row r="17" spans="9:28">
      <c r="T17" s="1">
        <f t="shared" si="3"/>
        <v>-1.4999999999999999E-2</v>
      </c>
      <c r="V17" s="39">
        <f t="shared" si="4"/>
        <v>1.8065999999999995E-2</v>
      </c>
      <c r="W17" s="39">
        <f t="shared" si="4"/>
        <v>-1.1534000000000003E-2</v>
      </c>
      <c r="X17" s="39">
        <f t="shared" si="4"/>
        <v>1.8065999999999995E-2</v>
      </c>
      <c r="Z17" s="6">
        <f t="shared" si="5"/>
        <v>-2.5349999999999998E-2</v>
      </c>
      <c r="AA17" s="6">
        <f t="shared" si="5"/>
        <v>-3.8300000000000001E-2</v>
      </c>
      <c r="AB17" s="6">
        <f t="shared" si="5"/>
        <v>-2.5349999999999998E-2</v>
      </c>
    </row>
    <row r="18" spans="9:28">
      <c r="T18" s="1">
        <f t="shared" si="3"/>
        <v>-0.02</v>
      </c>
      <c r="V18" s="39">
        <f t="shared" si="4"/>
        <v>2.4087999999999995E-2</v>
      </c>
      <c r="W18" s="39">
        <f t="shared" si="4"/>
        <v>-5.512000000000003E-3</v>
      </c>
      <c r="X18" s="39">
        <f t="shared" si="4"/>
        <v>2.4087999999999995E-2</v>
      </c>
      <c r="Z18" s="6">
        <f t="shared" si="5"/>
        <v>-3.3799999999999997E-2</v>
      </c>
      <c r="AA18" s="6">
        <f t="shared" si="5"/>
        <v>-4.675E-2</v>
      </c>
      <c r="AB18" s="6">
        <f t="shared" si="5"/>
        <v>-3.3799999999999997E-2</v>
      </c>
    </row>
    <row r="19" spans="9:28">
      <c r="T19" s="1">
        <f t="shared" si="3"/>
        <v>-2.5000000000000001E-2</v>
      </c>
      <c r="V19" s="39">
        <f t="shared" si="4"/>
        <v>3.0109999999999994E-2</v>
      </c>
      <c r="W19" s="39">
        <f t="shared" si="4"/>
        <v>5.0999999999999657E-4</v>
      </c>
      <c r="X19" s="39">
        <f t="shared" si="4"/>
        <v>3.0109999999999994E-2</v>
      </c>
      <c r="Z19" s="6">
        <f t="shared" si="5"/>
        <v>-4.2250000000000003E-2</v>
      </c>
      <c r="AA19" s="6">
        <f t="shared" si="5"/>
        <v>-5.5199999999999999E-2</v>
      </c>
      <c r="AB19" s="6">
        <f t="shared" si="5"/>
        <v>-4.2250000000000003E-2</v>
      </c>
    </row>
    <row r="20" spans="9:28">
      <c r="T20" s="1">
        <f t="shared" si="3"/>
        <v>-3.0000000000000002E-2</v>
      </c>
      <c r="V20" s="39">
        <f t="shared" si="4"/>
        <v>3.6131999999999991E-2</v>
      </c>
      <c r="W20" s="39">
        <f t="shared" si="4"/>
        <v>6.5319999999999927E-3</v>
      </c>
      <c r="X20" s="39">
        <f t="shared" si="4"/>
        <v>3.6131999999999991E-2</v>
      </c>
      <c r="Z20" s="6">
        <f t="shared" si="5"/>
        <v>-5.0700000000000002E-2</v>
      </c>
      <c r="AA20" s="6">
        <f t="shared" si="5"/>
        <v>-6.3649999999999998E-2</v>
      </c>
      <c r="AB20" s="6">
        <f t="shared" si="5"/>
        <v>-5.0700000000000002E-2</v>
      </c>
    </row>
    <row r="21" spans="9:28">
      <c r="T21" s="1">
        <f t="shared" si="3"/>
        <v>-3.5000000000000003E-2</v>
      </c>
      <c r="V21" s="39">
        <f t="shared" si="4"/>
        <v>4.215399999999999E-2</v>
      </c>
      <c r="W21" s="39">
        <f t="shared" si="4"/>
        <v>1.2553999999999992E-2</v>
      </c>
      <c r="X21" s="39">
        <f t="shared" si="4"/>
        <v>4.215399999999999E-2</v>
      </c>
      <c r="Z21" s="6">
        <f t="shared" si="5"/>
        <v>-5.9150000000000001E-2</v>
      </c>
      <c r="AA21" s="6">
        <f t="shared" si="5"/>
        <v>-7.2099999999999997E-2</v>
      </c>
      <c r="AB21" s="6">
        <f t="shared" si="5"/>
        <v>-5.9150000000000001E-2</v>
      </c>
    </row>
    <row r="22" spans="9:28">
      <c r="I22" s="4">
        <f>('OPTIONAL FULL MODEL APPENDIX'!K14-'OPTIONAL FULL MODEL APPENDIX'!K44)/('OPTIONAL FULL MODEL APPENDIX'!F58*'NEW Assignment Problem'!I9)</f>
        <v>-0.65250965250965254</v>
      </c>
    </row>
    <row r="23" spans="9:28">
      <c r="T23">
        <v>5.0000000000000001E-3</v>
      </c>
      <c r="V23" s="1">
        <v>0</v>
      </c>
      <c r="W23" s="1">
        <v>0.02</v>
      </c>
      <c r="X23" s="1">
        <v>0</v>
      </c>
      <c r="Z23" s="1">
        <v>0</v>
      </c>
      <c r="AA23" s="1">
        <v>-5.0000000000000001E-3</v>
      </c>
      <c r="AB23" s="1">
        <v>0</v>
      </c>
    </row>
    <row r="24" spans="9:28">
      <c r="W24" t="str">
        <f>IF(W23&lt;0,"External Surplus",IF(W23&gt;0,"External Deficit",""))</f>
        <v>External Deficit</v>
      </c>
      <c r="AA24" t="str">
        <f>IF(AA23&lt;0,"Inflation above Target",IF(AA23&gt;0,"inflation below target",""))</f>
        <v>Inflation above Target</v>
      </c>
    </row>
    <row r="26" spans="9:28">
      <c r="I26" s="4">
        <f>1/('OPTIONAL FULL MODEL APPENDIX'!F58*'NEW Assignment Problem'!I9)</f>
        <v>0.38610038610038611</v>
      </c>
    </row>
    <row r="29" spans="9:28">
      <c r="W29" t="s">
        <v>22</v>
      </c>
    </row>
    <row r="30" spans="9:28">
      <c r="L30" t="s">
        <v>1</v>
      </c>
      <c r="W30" t="s">
        <v>46</v>
      </c>
      <c r="X30" t="s">
        <v>47</v>
      </c>
    </row>
    <row r="31" spans="9:28">
      <c r="L31" s="53">
        <f>I12</f>
        <v>-0.81378378378378369</v>
      </c>
      <c r="M31" s="53">
        <f>I15</f>
        <v>-0.67567567567567577</v>
      </c>
      <c r="W31" s="14">
        <f>S39</f>
        <v>-5.7524875621890546E-3</v>
      </c>
      <c r="X31">
        <v>0</v>
      </c>
    </row>
    <row r="32" spans="9:28">
      <c r="L32" s="53">
        <f>I22</f>
        <v>-0.65250965250965254</v>
      </c>
      <c r="M32" s="53">
        <f>I26</f>
        <v>0.38610038610038611</v>
      </c>
      <c r="W32" s="14">
        <f>S39</f>
        <v>-5.7524875621890546E-3</v>
      </c>
      <c r="X32" s="14">
        <f>S40</f>
        <v>-2.2671703980099499E-2</v>
      </c>
    </row>
    <row r="34" spans="12:24">
      <c r="L34" t="s">
        <v>156</v>
      </c>
      <c r="W34" t="s">
        <v>46</v>
      </c>
      <c r="X34" t="s">
        <v>47</v>
      </c>
    </row>
    <row r="35" spans="12:24">
      <c r="L35" s="18">
        <f t="array" ref="L35:M36">MINVERSE(L31:M32)</f>
        <v>-0.5113322277501382</v>
      </c>
      <c r="M35" s="18">
        <v>-0.89483139856274196</v>
      </c>
      <c r="W35">
        <v>0</v>
      </c>
      <c r="X35" s="14">
        <f>X32</f>
        <v>-2.2671703980099499E-2</v>
      </c>
    </row>
    <row r="36" spans="12:24">
      <c r="L36" s="18">
        <v>-0.86415146489773353</v>
      </c>
      <c r="M36" s="18">
        <v>1.0777349364289661</v>
      </c>
      <c r="W36" s="14">
        <f>W32</f>
        <v>-5.7524875621890546E-3</v>
      </c>
      <c r="X36" s="14">
        <f>X35</f>
        <v>-2.2671703980099499E-2</v>
      </c>
    </row>
    <row r="37" spans="12:24">
      <c r="R37" t="s">
        <v>157</v>
      </c>
      <c r="S37" s="54">
        <f>W23</f>
        <v>0.02</v>
      </c>
    </row>
    <row r="38" spans="12:24">
      <c r="R38" t="s">
        <v>158</v>
      </c>
      <c r="S38" s="54">
        <f>AA23</f>
        <v>-5.0000000000000001E-3</v>
      </c>
    </row>
    <row r="39" spans="12:24">
      <c r="R39" t="s">
        <v>151</v>
      </c>
      <c r="S39" s="35">
        <f>L35*S37+M35*S38</f>
        <v>-5.7524875621890546E-3</v>
      </c>
    </row>
    <row r="40" spans="12:24">
      <c r="R40" t="s">
        <v>159</v>
      </c>
      <c r="S40" s="1">
        <f>L36*S37+M36*S38</f>
        <v>-2.2671703980099499E-2</v>
      </c>
    </row>
  </sheetData>
  <pageMargins left="0.7" right="0.7" top="0.75" bottom="0.75" header="0.3" footer="0.3"/>
  <pageSetup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8194" r:id="rId4">
          <objectPr defaultSize="0" autoPict="0" r:id="rId5">
            <anchor moveWithCells="1">
              <from>
                <xdr:col>2</xdr:col>
                <xdr:colOff>590550</xdr:colOff>
                <xdr:row>4</xdr:row>
                <xdr:rowOff>152400</xdr:rowOff>
              </from>
              <to>
                <xdr:col>6</xdr:col>
                <xdr:colOff>590550</xdr:colOff>
                <xdr:row>6</xdr:row>
                <xdr:rowOff>161925</xdr:rowOff>
              </to>
            </anchor>
          </objectPr>
        </oleObject>
      </mc:Choice>
      <mc:Fallback>
        <oleObject progId="Equation.DSMT4" shapeId="8194" r:id="rId4"/>
      </mc:Fallback>
    </mc:AlternateContent>
    <mc:AlternateContent xmlns:mc="http://schemas.openxmlformats.org/markup-compatibility/2006">
      <mc:Choice Requires="x14">
        <oleObject progId="Equation.DSMT4" shapeId="8195" r:id="rId6">
          <objectPr defaultSize="0" r:id="rId7">
            <anchor moveWithCells="1">
              <from>
                <xdr:col>3</xdr:col>
                <xdr:colOff>28575</xdr:colOff>
                <xdr:row>10</xdr:row>
                <xdr:rowOff>19050</xdr:rowOff>
              </from>
              <to>
                <xdr:col>7</xdr:col>
                <xdr:colOff>28575</xdr:colOff>
                <xdr:row>12</xdr:row>
                <xdr:rowOff>114300</xdr:rowOff>
              </to>
            </anchor>
          </objectPr>
        </oleObject>
      </mc:Choice>
      <mc:Fallback>
        <oleObject progId="Equation.DSMT4" shapeId="8195" r:id="rId6"/>
      </mc:Fallback>
    </mc:AlternateContent>
    <mc:AlternateContent xmlns:mc="http://schemas.openxmlformats.org/markup-compatibility/2006">
      <mc:Choice Requires="x14">
        <oleObject progId="Equation.DSMT4" shapeId="8197" r:id="rId8">
          <objectPr defaultSize="0" r:id="rId9">
            <anchor moveWithCells="1">
              <from>
                <xdr:col>3</xdr:col>
                <xdr:colOff>47625</xdr:colOff>
                <xdr:row>13</xdr:row>
                <xdr:rowOff>47625</xdr:rowOff>
              </from>
              <to>
                <xdr:col>4</xdr:col>
                <xdr:colOff>276225</xdr:colOff>
                <xdr:row>15</xdr:row>
                <xdr:rowOff>123825</xdr:rowOff>
              </to>
            </anchor>
          </objectPr>
        </oleObject>
      </mc:Choice>
      <mc:Fallback>
        <oleObject progId="Equation.DSMT4" shapeId="8197" r:id="rId8"/>
      </mc:Fallback>
    </mc:AlternateContent>
    <mc:AlternateContent xmlns:mc="http://schemas.openxmlformats.org/markup-compatibility/2006">
      <mc:Choice Requires="x14">
        <oleObject progId="Equation.DSMT4" shapeId="8198" r:id="rId10">
          <objectPr defaultSize="0" r:id="rId11">
            <anchor moveWithCells="1">
              <from>
                <xdr:col>3</xdr:col>
                <xdr:colOff>0</xdr:colOff>
                <xdr:row>17</xdr:row>
                <xdr:rowOff>0</xdr:rowOff>
              </from>
              <to>
                <xdr:col>7</xdr:col>
                <xdr:colOff>66675</xdr:colOff>
                <xdr:row>18</xdr:row>
                <xdr:rowOff>171450</xdr:rowOff>
              </to>
            </anchor>
          </objectPr>
        </oleObject>
      </mc:Choice>
      <mc:Fallback>
        <oleObject progId="Equation.DSMT4" shapeId="8198" r:id="rId10"/>
      </mc:Fallback>
    </mc:AlternateContent>
    <mc:AlternateContent xmlns:mc="http://schemas.openxmlformats.org/markup-compatibility/2006">
      <mc:Choice Requires="x14">
        <oleObject progId="Equation.DSMT4" shapeId="8199" r:id="rId12">
          <objectPr defaultSize="0" autoPict="0" r:id="rId13">
            <anchor moveWithCells="1">
              <from>
                <xdr:col>3</xdr:col>
                <xdr:colOff>9525</xdr:colOff>
                <xdr:row>20</xdr:row>
                <xdr:rowOff>19050</xdr:rowOff>
              </from>
              <to>
                <xdr:col>4</xdr:col>
                <xdr:colOff>561975</xdr:colOff>
                <xdr:row>22</xdr:row>
                <xdr:rowOff>123825</xdr:rowOff>
              </to>
            </anchor>
          </objectPr>
        </oleObject>
      </mc:Choice>
      <mc:Fallback>
        <oleObject progId="Equation.DSMT4" shapeId="8199" r:id="rId12"/>
      </mc:Fallback>
    </mc:AlternateContent>
    <mc:AlternateContent xmlns:mc="http://schemas.openxmlformats.org/markup-compatibility/2006">
      <mc:Choice Requires="x14">
        <oleObject progId="Equation.DSMT4" shapeId="8200" r:id="rId14">
          <objectPr defaultSize="0" autoPict="0" r:id="rId15">
            <anchor moveWithCells="1">
              <from>
                <xdr:col>3</xdr:col>
                <xdr:colOff>28575</xdr:colOff>
                <xdr:row>24</xdr:row>
                <xdr:rowOff>9525</xdr:rowOff>
              </from>
              <to>
                <xdr:col>4</xdr:col>
                <xdr:colOff>200025</xdr:colOff>
                <xdr:row>26</xdr:row>
                <xdr:rowOff>28575</xdr:rowOff>
              </to>
            </anchor>
          </objectPr>
        </oleObject>
      </mc:Choice>
      <mc:Fallback>
        <oleObject progId="Equation.DSMT4" shapeId="8200" r:id="rId14"/>
      </mc:Fallback>
    </mc:AlternateContent>
    <mc:AlternateContent xmlns:mc="http://schemas.openxmlformats.org/markup-compatibility/2006">
      <mc:Choice Requires="x14">
        <oleObject progId="Equation.DSMT4" shapeId="8201" r:id="rId16">
          <objectPr defaultSize="0" autoPict="0" r:id="rId17">
            <anchor moveWithCells="1">
              <from>
                <xdr:col>3</xdr:col>
                <xdr:colOff>0</xdr:colOff>
                <xdr:row>7</xdr:row>
                <xdr:rowOff>104775</xdr:rowOff>
              </from>
              <to>
                <xdr:col>7</xdr:col>
                <xdr:colOff>161925</xdr:colOff>
                <xdr:row>9</xdr:row>
                <xdr:rowOff>19050</xdr:rowOff>
              </to>
            </anchor>
          </objectPr>
        </oleObject>
      </mc:Choice>
      <mc:Fallback>
        <oleObject progId="Equation.DSMT4" shapeId="8201" r:id="rId16"/>
      </mc:Fallback>
    </mc:AlternateContent>
    <mc:AlternateContent xmlns:mc="http://schemas.openxmlformats.org/markup-compatibility/2006">
      <mc:Choice Requires="x14">
        <oleObject progId="Equation.DSMT4" shapeId="8204" r:id="rId18">
          <objectPr defaultSize="0" autoPict="0" r:id="rId19">
            <anchor moveWithCells="1">
              <from>
                <xdr:col>21</xdr:col>
                <xdr:colOff>19050</xdr:colOff>
                <xdr:row>2</xdr:row>
                <xdr:rowOff>28575</xdr:rowOff>
              </from>
              <to>
                <xdr:col>23</xdr:col>
                <xdr:colOff>390525</xdr:colOff>
                <xdr:row>3</xdr:row>
                <xdr:rowOff>171450</xdr:rowOff>
              </to>
            </anchor>
          </objectPr>
        </oleObject>
      </mc:Choice>
      <mc:Fallback>
        <oleObject progId="Equation.DSMT4" shapeId="8204" r:id="rId18"/>
      </mc:Fallback>
    </mc:AlternateContent>
    <mc:AlternateContent xmlns:mc="http://schemas.openxmlformats.org/markup-compatibility/2006">
      <mc:Choice Requires="x14">
        <oleObject progId="Equation.DSMT4" shapeId="8205" r:id="rId20">
          <objectPr defaultSize="0" autoPict="0" r:id="rId21">
            <anchor moveWithCells="1">
              <from>
                <xdr:col>25</xdr:col>
                <xdr:colOff>57150</xdr:colOff>
                <xdr:row>2</xdr:row>
                <xdr:rowOff>0</xdr:rowOff>
              </from>
              <to>
                <xdr:col>28</xdr:col>
                <xdr:colOff>200025</xdr:colOff>
                <xdr:row>4</xdr:row>
                <xdr:rowOff>57150</xdr:rowOff>
              </to>
            </anchor>
          </objectPr>
        </oleObject>
      </mc:Choice>
      <mc:Fallback>
        <oleObject progId="Equation.DSMT4" shapeId="8205" r:id="rId20"/>
      </mc:Fallback>
    </mc:AlternateContent>
    <mc:AlternateContent xmlns:mc="http://schemas.openxmlformats.org/markup-compatibility/2006">
      <mc:Choice Requires="x14">
        <oleObject progId="Equation.DSMT4" shapeId="8206" r:id="rId22">
          <objectPr defaultSize="0" autoPict="0" r:id="rId23">
            <anchor moveWithCells="1">
              <from>
                <xdr:col>5</xdr:col>
                <xdr:colOff>447675</xdr:colOff>
                <xdr:row>29</xdr:row>
                <xdr:rowOff>28575</xdr:rowOff>
              </from>
              <to>
                <xdr:col>9</xdr:col>
                <xdr:colOff>381000</xdr:colOff>
                <xdr:row>32</xdr:row>
                <xdr:rowOff>104775</xdr:rowOff>
              </to>
            </anchor>
          </objectPr>
        </oleObject>
      </mc:Choice>
      <mc:Fallback>
        <oleObject progId="Equation.DSMT4" shapeId="8206" r:id="rId22"/>
      </mc:Fallback>
    </mc:AlternateContent>
    <mc:AlternateContent xmlns:mc="http://schemas.openxmlformats.org/markup-compatibility/2006">
      <mc:Choice Requires="x14">
        <oleObject progId="Equation.DSMT4" shapeId="8207" r:id="rId24">
          <objectPr defaultSize="0" autoPict="0" r:id="rId25">
            <anchor moveWithCells="1">
              <from>
                <xdr:col>5</xdr:col>
                <xdr:colOff>457200</xdr:colOff>
                <xdr:row>33</xdr:row>
                <xdr:rowOff>104775</xdr:rowOff>
              </from>
              <to>
                <xdr:col>9</xdr:col>
                <xdr:colOff>381000</xdr:colOff>
                <xdr:row>36</xdr:row>
                <xdr:rowOff>152400</xdr:rowOff>
              </to>
            </anchor>
          </objectPr>
        </oleObject>
      </mc:Choice>
      <mc:Fallback>
        <oleObject progId="Equation.DSMT4" shapeId="8207" r:id="rId2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180" zoomScaleNormal="180" workbookViewId="0">
      <selection activeCell="L4" sqref="L4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3:T158"/>
  <sheetViews>
    <sheetView showGridLines="0" tabSelected="1" zoomScale="120" zoomScaleNormal="120" workbookViewId="0">
      <selection activeCell="P12" sqref="P12"/>
    </sheetView>
  </sheetViews>
  <sheetFormatPr defaultRowHeight="15" outlineLevelRow="1"/>
  <cols>
    <col min="12" max="12" width="29.5703125" customWidth="1"/>
    <col min="13" max="13" width="11.140625" customWidth="1"/>
    <col min="14" max="14" width="13" customWidth="1"/>
    <col min="16" max="16" width="11.5703125" customWidth="1"/>
    <col min="18" max="18" width="11.7109375" customWidth="1"/>
    <col min="20" max="20" width="22.85546875" bestFit="1" customWidth="1"/>
  </cols>
  <sheetData>
    <row r="3" spans="11:18">
      <c r="N3" t="s">
        <v>244</v>
      </c>
    </row>
    <row r="4" spans="11:18">
      <c r="K4" t="s">
        <v>24</v>
      </c>
      <c r="N4" t="s">
        <v>21</v>
      </c>
      <c r="O4" t="s">
        <v>106</v>
      </c>
      <c r="P4" t="s">
        <v>22</v>
      </c>
      <c r="R4" t="s">
        <v>23</v>
      </c>
    </row>
    <row r="6" spans="11:18">
      <c r="L6" t="s">
        <v>248</v>
      </c>
      <c r="N6" s="23">
        <f>N7+N8+N10-'OPTIONAL FULL MODEL APPENDIX'!$I$8*'Streamlined Dashboard'!N11</f>
        <v>0</v>
      </c>
      <c r="P6" s="23">
        <f>P7+P8+P10-'OPTIONAL FULL MODEL APPENDIX'!$I$8*'Streamlined Dashboard'!P11</f>
        <v>0</v>
      </c>
      <c r="R6" s="23">
        <f>R7+R8+R10-'OPTIONAL FULL MODEL APPENDIX'!$I$8*'Streamlined Dashboard'!R11</f>
        <v>0</v>
      </c>
    </row>
    <row r="7" spans="11:18">
      <c r="L7" t="s">
        <v>243</v>
      </c>
      <c r="N7" s="5">
        <v>0</v>
      </c>
      <c r="P7" s="5">
        <v>0</v>
      </c>
      <c r="R7" s="5">
        <v>0</v>
      </c>
    </row>
    <row r="8" spans="11:18">
      <c r="L8" t="s">
        <v>16</v>
      </c>
      <c r="N8" s="5">
        <v>0</v>
      </c>
      <c r="P8" s="5">
        <v>0</v>
      </c>
      <c r="R8" s="5">
        <v>0</v>
      </c>
    </row>
    <row r="9" spans="11:18">
      <c r="L9" t="s">
        <v>245</v>
      </c>
    </row>
    <row r="10" spans="11:18">
      <c r="L10" t="s">
        <v>246</v>
      </c>
      <c r="N10" s="5">
        <v>0</v>
      </c>
      <c r="P10" s="5">
        <v>0</v>
      </c>
      <c r="R10" s="5">
        <v>0</v>
      </c>
    </row>
    <row r="11" spans="11:18">
      <c r="L11" t="s">
        <v>247</v>
      </c>
      <c r="N11" s="5">
        <v>0</v>
      </c>
      <c r="P11" s="5">
        <v>0</v>
      </c>
      <c r="R11" s="5">
        <v>0</v>
      </c>
    </row>
    <row r="14" spans="11:18">
      <c r="K14" t="s">
        <v>27</v>
      </c>
      <c r="N14" t="s">
        <v>25</v>
      </c>
    </row>
    <row r="15" spans="11:18" ht="17.25">
      <c r="L15" t="s">
        <v>26</v>
      </c>
      <c r="N15" s="5">
        <v>0</v>
      </c>
      <c r="P15" s="5">
        <v>0</v>
      </c>
      <c r="R15" s="5">
        <v>0</v>
      </c>
    </row>
    <row r="16" spans="11:18">
      <c r="L16" t="s">
        <v>28</v>
      </c>
      <c r="N16" s="5">
        <v>0</v>
      </c>
      <c r="P16" s="5">
        <v>0</v>
      </c>
      <c r="R16" s="5">
        <v>0</v>
      </c>
    </row>
    <row r="18" spans="11:20">
      <c r="K18" t="s">
        <v>27</v>
      </c>
      <c r="N18" t="s">
        <v>29</v>
      </c>
    </row>
    <row r="19" spans="11:20">
      <c r="L19" t="s">
        <v>30</v>
      </c>
      <c r="N19" s="5">
        <v>0</v>
      </c>
      <c r="P19" s="5">
        <v>0</v>
      </c>
      <c r="R19" s="5">
        <v>0</v>
      </c>
    </row>
    <row r="21" spans="11:20">
      <c r="L21" t="s">
        <v>27</v>
      </c>
      <c r="N21" t="s">
        <v>74</v>
      </c>
    </row>
    <row r="22" spans="11:20">
      <c r="L22" t="s">
        <v>75</v>
      </c>
      <c r="N22" s="23">
        <f>N23+N24-N26*'OPTIONAL FULL MODEL APPENDIX'!$J$127</f>
        <v>0</v>
      </c>
      <c r="P22" s="23">
        <f>P23+P24-P26*'OPTIONAL FULL MODEL APPENDIX'!$J$127</f>
        <v>0</v>
      </c>
      <c r="R22" s="23">
        <f>R23+R24-R26*'OPTIONAL FULL MODEL APPENDIX'!$J$127</f>
        <v>0</v>
      </c>
    </row>
    <row r="23" spans="11:20">
      <c r="L23" t="s">
        <v>76</v>
      </c>
      <c r="N23" s="5">
        <v>0</v>
      </c>
      <c r="P23" s="5">
        <v>0</v>
      </c>
      <c r="R23" s="5">
        <v>0</v>
      </c>
    </row>
    <row r="24" spans="11:20">
      <c r="L24" t="s">
        <v>77</v>
      </c>
      <c r="N24" s="5">
        <v>0</v>
      </c>
      <c r="P24" s="5">
        <v>0</v>
      </c>
      <c r="R24" s="5">
        <v>0</v>
      </c>
    </row>
    <row r="26" spans="11:20" ht="17.25">
      <c r="L26" t="s">
        <v>297</v>
      </c>
      <c r="N26" s="5">
        <v>0</v>
      </c>
      <c r="P26" s="5">
        <v>0</v>
      </c>
      <c r="R26" s="5">
        <v>0</v>
      </c>
      <c r="T26" s="84"/>
    </row>
    <row r="27" spans="11:20">
      <c r="L27" t="s">
        <v>298</v>
      </c>
    </row>
    <row r="30" spans="11:20">
      <c r="L30" t="s">
        <v>27</v>
      </c>
      <c r="N30" t="s">
        <v>78</v>
      </c>
    </row>
    <row r="31" spans="11:20">
      <c r="L31" t="s">
        <v>79</v>
      </c>
      <c r="N31" s="23">
        <f>N32-N33</f>
        <v>0</v>
      </c>
      <c r="P31" s="23">
        <f>P32-P33</f>
        <v>0</v>
      </c>
      <c r="R31" s="23">
        <f>R32-R33</f>
        <v>0</v>
      </c>
    </row>
    <row r="32" spans="11:20">
      <c r="L32" t="s">
        <v>80</v>
      </c>
      <c r="N32" s="5">
        <v>0</v>
      </c>
      <c r="P32" s="5">
        <v>0</v>
      </c>
      <c r="R32" s="5">
        <v>0</v>
      </c>
    </row>
    <row r="33" spans="12:18">
      <c r="L33" t="s">
        <v>81</v>
      </c>
      <c r="N33" s="5">
        <v>0</v>
      </c>
      <c r="P33" s="5">
        <v>0</v>
      </c>
      <c r="R33" s="5">
        <v>0</v>
      </c>
    </row>
    <row r="35" spans="12:18">
      <c r="N35" t="str">
        <f>N4</f>
        <v>base</v>
      </c>
      <c r="P35" t="str">
        <f>P4</f>
        <v>alt(i)</v>
      </c>
      <c r="R35" t="str">
        <f>R4</f>
        <v>alt(ii)</v>
      </c>
    </row>
    <row r="36" spans="12:18">
      <c r="L36" t="s">
        <v>164</v>
      </c>
    </row>
    <row r="37" spans="12:18">
      <c r="L37" t="s">
        <v>160</v>
      </c>
      <c r="N37" s="9">
        <f>'OPTIONAL FULL MODEL APPENDIX'!W67</f>
        <v>0</v>
      </c>
      <c r="O37" s="14"/>
      <c r="P37" s="9">
        <f>'OPTIONAL FULL MODEL APPENDIX'!Y67</f>
        <v>0</v>
      </c>
      <c r="Q37" s="14"/>
      <c r="R37" s="9">
        <f>'OPTIONAL FULL MODEL APPENDIX'!AA67</f>
        <v>0</v>
      </c>
    </row>
    <row r="38" spans="12:18">
      <c r="N38" s="55" t="str">
        <f>IF(N37&gt;0,"Expansion",IF(N37&lt;0,"Recession",""))</f>
        <v/>
      </c>
      <c r="P38" s="55" t="str">
        <f>IF(P37&gt;0,"Expansion",IF(P37&lt;0,"Recession",""))</f>
        <v/>
      </c>
      <c r="R38" s="55" t="str">
        <f>IF(R37&gt;0,"Expansion",IF(R37&lt;0,"Recession",""))</f>
        <v/>
      </c>
    </row>
    <row r="39" spans="12:18">
      <c r="L39" t="s">
        <v>161</v>
      </c>
      <c r="N39" s="9">
        <f>'OPTIONAL FULL MODEL APPENDIX'!W80</f>
        <v>0.02</v>
      </c>
      <c r="O39" s="14"/>
      <c r="P39" s="9">
        <f>'OPTIONAL FULL MODEL APPENDIX'!Y80</f>
        <v>0.02</v>
      </c>
      <c r="Q39" s="14"/>
      <c r="R39" s="9">
        <f>'OPTIONAL FULL MODEL APPENDIX'!AA80</f>
        <v>0.02</v>
      </c>
    </row>
    <row r="40" spans="12:18">
      <c r="N40" s="55" t="str">
        <f>IF(N39&gt;'OPTIONAL FULL MODEL APPENDIX'!$C$34,"Above neutral",IF(N39&lt;'OPTIONAL FULL MODEL APPENDIX'!$C$34,"Below neutral",""))</f>
        <v/>
      </c>
      <c r="P40" s="55" t="str">
        <f>IF(P39&gt;'OPTIONAL FULL MODEL APPENDIX'!$C$34,"Above neutral",IF(P39&lt;'OPTIONAL FULL MODEL APPENDIX'!$C$34,"Below neutral",""))</f>
        <v/>
      </c>
      <c r="R40" s="55" t="str">
        <f>IF(R39&gt;'OPTIONAL FULL MODEL APPENDIX'!$C$34,"Above neutral",IF(R39&lt;'OPTIONAL FULL MODEL APPENDIX'!$C$34,"Below neutral",""))</f>
        <v/>
      </c>
    </row>
    <row r="41" spans="12:18">
      <c r="L41" t="s">
        <v>162</v>
      </c>
      <c r="N41" s="9">
        <f>'OPTIONAL FULL MODEL APPENDIX'!W74</f>
        <v>4.4999999999999998E-2</v>
      </c>
      <c r="O41" s="14"/>
      <c r="P41" s="9">
        <f>'OPTIONAL FULL MODEL APPENDIX'!Y74</f>
        <v>4.4999999999999998E-2</v>
      </c>
      <c r="Q41" s="14"/>
      <c r="R41" s="9">
        <f>'OPTIONAL FULL MODEL APPENDIX'!AA74</f>
        <v>4.4999999999999998E-2</v>
      </c>
    </row>
    <row r="42" spans="12:18">
      <c r="N42" s="55" t="str">
        <f>IF(N41&gt;'OPTIONAL FULL MODEL APPENDIX'!$C$31,"Above target",IF(N41&lt;'OPTIONAL FULL MODEL APPENDIX'!$C$31,"Below target",""))</f>
        <v/>
      </c>
      <c r="P42" s="55" t="str">
        <f>IF(P41&gt;'OPTIONAL FULL MODEL APPENDIX'!$C$31,"Above target",IF(P41&lt;'OPTIONAL FULL MODEL APPENDIX'!$C$31,"Below target",""))</f>
        <v/>
      </c>
      <c r="R42" s="55" t="str">
        <f>IF(R41&gt;'OPTIONAL FULL MODEL APPENDIX'!$C$31,"Above target",IF(R41&lt;'OPTIONAL FULL MODEL APPENDIX'!$C$31,"Below target",""))</f>
        <v/>
      </c>
    </row>
    <row r="43" spans="12:18">
      <c r="L43" t="s">
        <v>163</v>
      </c>
      <c r="N43" s="9">
        <f>N39+N41</f>
        <v>6.5000000000000002E-2</v>
      </c>
      <c r="O43" s="14"/>
      <c r="P43" s="9">
        <f>P39+P41</f>
        <v>6.5000000000000002E-2</v>
      </c>
      <c r="Q43" s="14"/>
      <c r="R43" s="9">
        <f>R39+R41</f>
        <v>6.5000000000000002E-2</v>
      </c>
    </row>
    <row r="46" spans="12:18">
      <c r="L46" t="s">
        <v>166</v>
      </c>
    </row>
    <row r="48" spans="12:18">
      <c r="L48" t="s">
        <v>167</v>
      </c>
      <c r="N48" s="9">
        <f>'OPTIONAL FULL MODEL APPENDIX'!W94</f>
        <v>0</v>
      </c>
      <c r="O48" s="14"/>
      <c r="P48" s="9">
        <f>'OPTIONAL FULL MODEL APPENDIX'!Y94</f>
        <v>0</v>
      </c>
      <c r="Q48" s="14"/>
      <c r="R48" s="9">
        <f>'OPTIONAL FULL MODEL APPENDIX'!AA94</f>
        <v>0</v>
      </c>
    </row>
    <row r="49" spans="2:20">
      <c r="L49" t="s">
        <v>168</v>
      </c>
      <c r="N49" s="55" t="str">
        <f>IF(N48&gt;0,"Favorable",IF(N48&lt;0,"Unfavorable",""))</f>
        <v/>
      </c>
      <c r="P49" s="55" t="str">
        <f>IF(P48&gt;0,"Favorable",IF(P48&lt;0,"Unfavorable",""))</f>
        <v/>
      </c>
      <c r="R49" s="55" t="str">
        <f>IF(R48&gt;0,"Favorable",IF(R48&lt;0,"Unfavorable",""))</f>
        <v/>
      </c>
    </row>
    <row r="51" spans="2:20">
      <c r="L51" t="s">
        <v>169</v>
      </c>
      <c r="N51" s="9">
        <f>'OPTIONAL FULL MODEL APPENDIX'!W100</f>
        <v>0</v>
      </c>
      <c r="O51" s="14"/>
      <c r="P51" s="9">
        <f>'OPTIONAL FULL MODEL APPENDIX'!Y100</f>
        <v>0</v>
      </c>
      <c r="Q51" s="14"/>
      <c r="R51" s="9">
        <f>'OPTIONAL FULL MODEL APPENDIX'!AA100</f>
        <v>0</v>
      </c>
    </row>
    <row r="52" spans="2:20">
      <c r="L52" t="s">
        <v>170</v>
      </c>
      <c r="N52" s="55" t="str">
        <f>IF(N51&gt;0,"Favorable",IF(N51&lt;0,"Unfavorable",""))</f>
        <v/>
      </c>
      <c r="P52" s="55" t="str">
        <f>IF(P51&gt;0,"Unfavorable",IF(P51&lt;0,"Favorable",""))</f>
        <v/>
      </c>
      <c r="R52" s="55" t="str">
        <f>IF(R51&gt;0,"Unfavorable",IF(R51&lt;0,"Favorable",""))</f>
        <v/>
      </c>
    </row>
    <row r="54" spans="2:20">
      <c r="L54" t="s">
        <v>165</v>
      </c>
      <c r="N54" s="32">
        <f>'OPTIONAL FULL MODEL APPENDIX'!W109</f>
        <v>100</v>
      </c>
      <c r="O54" s="22"/>
      <c r="P54" s="32">
        <f>'OPTIONAL FULL MODEL APPENDIX'!Y109</f>
        <v>100</v>
      </c>
      <c r="Q54" s="22"/>
      <c r="R54" s="32">
        <f>'OPTIONAL FULL MODEL APPENDIX'!AA109</f>
        <v>100</v>
      </c>
    </row>
    <row r="55" spans="2:20">
      <c r="N55" s="55" t="str">
        <f>IF(N54&gt;'OPTIONAL FULL MODEL APPENDIX'!$C$51,"Depreciation",IF(N54&lt;'OPTIONAL FULL MODEL APPENDIX'!$C$51,"Appreciation",""))</f>
        <v/>
      </c>
      <c r="P55" s="55" t="str">
        <f>IF(P54&gt;'OPTIONAL FULL MODEL APPENDIX'!$C$51,"Depreciation",IF(P54&lt;'OPTIONAL FULL MODEL APPENDIX'!$C$51,"Appreciation",""))</f>
        <v/>
      </c>
      <c r="R55" s="55" t="str">
        <f>IF(R54&gt;'OPTIONAL FULL MODEL APPENDIX'!$C$51,"Depreciation",IF(R54&lt;'OPTIONAL FULL MODEL APPENDIX'!$C$51,"Appreciation",""))</f>
        <v/>
      </c>
    </row>
    <row r="57" spans="2:20">
      <c r="L57" t="s">
        <v>171</v>
      </c>
      <c r="N57" s="157">
        <f>'OPTIONAL FULL MODEL APPENDIX'!W124</f>
        <v>-1.4499999999999782E-2</v>
      </c>
      <c r="O57" s="155"/>
      <c r="P57" s="157">
        <f>'OPTIONAL FULL MODEL APPENDIX'!Y124</f>
        <v>-1.4499999999999782E-2</v>
      </c>
      <c r="Q57" s="155"/>
      <c r="R57" s="157">
        <f>'OPTIONAL FULL MODEL APPENDIX'!AA124</f>
        <v>-1.4499999999999782E-2</v>
      </c>
      <c r="S57" s="13"/>
    </row>
    <row r="58" spans="2:20">
      <c r="L58" t="s">
        <v>172</v>
      </c>
      <c r="N58" s="1">
        <f>'OPTIONAL FULL MODEL APPENDIX'!W125</f>
        <v>-1.4499999999999791E-2</v>
      </c>
      <c r="P58" s="1">
        <f>'OPTIONAL FULL MODEL APPENDIX'!Y125</f>
        <v>-1.4499999999999791E-2</v>
      </c>
      <c r="R58" s="1">
        <f>'OPTIONAL FULL MODEL APPENDIX'!AA125</f>
        <v>-1.4499999999999791E-2</v>
      </c>
      <c r="T58" s="13"/>
    </row>
    <row r="59" spans="2:20">
      <c r="N59" s="55" t="str">
        <f>IF(N57&gt;N58,"Surplus",IF(N57&lt;N58,"Deficit",""))</f>
        <v/>
      </c>
      <c r="P59" s="55" t="str">
        <f>IF(P57&gt;P58,"Surplus",IF(P57&lt;P58,"Deficit",""))</f>
        <v/>
      </c>
      <c r="R59" s="55" t="str">
        <f>IF(R57&gt;R58,"Surplus",IF(R57&lt;R58,"Deficit",""))</f>
        <v/>
      </c>
    </row>
    <row r="61" spans="2:20">
      <c r="L61" t="str">
        <f>'OPTIONAL FULL MODEL APPENDIX'!T128</f>
        <v>Demand side decomposition of output gap (percent of potential)</v>
      </c>
    </row>
    <row r="62" spans="2:20">
      <c r="B62" s="172" t="s">
        <v>406</v>
      </c>
      <c r="L62" t="str">
        <f>'OPTIONAL FULL MODEL APPENDIX'!T129</f>
        <v>Output gap</v>
      </c>
      <c r="N62" s="33">
        <f>'OPTIONAL FULL MODEL APPENDIX'!W129</f>
        <v>0</v>
      </c>
      <c r="P62" s="33">
        <f>'OPTIONAL FULL MODEL APPENDIX'!Y129</f>
        <v>0</v>
      </c>
      <c r="R62" s="33">
        <f>'OPTIONAL FULL MODEL APPENDIX'!AA129</f>
        <v>0</v>
      </c>
    </row>
    <row r="63" spans="2:20">
      <c r="L63" t="str">
        <f>'OPTIONAL FULL MODEL APPENDIX'!T130</f>
        <v xml:space="preserve">  Consumption </v>
      </c>
      <c r="N63" s="33">
        <f>'OPTIONAL FULL MODEL APPENDIX'!W130</f>
        <v>0</v>
      </c>
      <c r="P63" s="33">
        <f>'OPTIONAL FULL MODEL APPENDIX'!Y130</f>
        <v>0</v>
      </c>
      <c r="R63" s="33">
        <f>'OPTIONAL FULL MODEL APPENDIX'!AA130</f>
        <v>0</v>
      </c>
    </row>
    <row r="64" spans="2:20">
      <c r="L64" t="str">
        <f>'OPTIONAL FULL MODEL APPENDIX'!T131</f>
        <v xml:space="preserve">  Investment </v>
      </c>
      <c r="N64" s="33">
        <f>'OPTIONAL FULL MODEL APPENDIX'!W131</f>
        <v>0</v>
      </c>
      <c r="P64" s="33">
        <f>'OPTIONAL FULL MODEL APPENDIX'!Y131</f>
        <v>0</v>
      </c>
      <c r="R64" s="33">
        <f>'OPTIONAL FULL MODEL APPENDIX'!AA131</f>
        <v>0</v>
      </c>
    </row>
    <row r="65" spans="12:18">
      <c r="L65" t="str">
        <f>'OPTIONAL FULL MODEL APPENDIX'!T132</f>
        <v xml:space="preserve">  Governerment Spending</v>
      </c>
      <c r="N65" s="33">
        <f>'OPTIONAL FULL MODEL APPENDIX'!W132</f>
        <v>0</v>
      </c>
      <c r="P65" s="33">
        <f>'OPTIONAL FULL MODEL APPENDIX'!Y132</f>
        <v>0</v>
      </c>
      <c r="R65" s="33">
        <f>'OPTIONAL FULL MODEL APPENDIX'!AA132</f>
        <v>0</v>
      </c>
    </row>
    <row r="66" spans="12:18">
      <c r="L66" t="str">
        <f>'OPTIONAL FULL MODEL APPENDIX'!T133</f>
        <v xml:space="preserve">  Net Exports</v>
      </c>
      <c r="N66" s="33">
        <f>'OPTIONAL FULL MODEL APPENDIX'!W133</f>
        <v>0</v>
      </c>
      <c r="P66" s="33">
        <f>'OPTIONAL FULL MODEL APPENDIX'!Y133</f>
        <v>0</v>
      </c>
      <c r="R66" s="33">
        <f>'OPTIONAL FULL MODEL APPENDIX'!AA133</f>
        <v>0</v>
      </c>
    </row>
    <row r="67" spans="12:18">
      <c r="L67" t="str">
        <f>'OPTIONAL FULL MODEL APPENDIX'!T134</f>
        <v xml:space="preserve">     Exports</v>
      </c>
      <c r="N67" s="33">
        <f>'OPTIONAL FULL MODEL APPENDIX'!W134</f>
        <v>0</v>
      </c>
      <c r="P67" s="33">
        <f>'OPTIONAL FULL MODEL APPENDIX'!Y134</f>
        <v>0</v>
      </c>
      <c r="R67" s="33">
        <f>'OPTIONAL FULL MODEL APPENDIX'!AA134</f>
        <v>0</v>
      </c>
    </row>
    <row r="68" spans="12:18">
      <c r="L68" t="str">
        <f>'OPTIONAL FULL MODEL APPENDIX'!T135</f>
        <v xml:space="preserve">     Imports</v>
      </c>
      <c r="N68" s="33">
        <f>'OPTIONAL FULL MODEL APPENDIX'!W135</f>
        <v>0</v>
      </c>
      <c r="P68" s="33">
        <f>'OPTIONAL FULL MODEL APPENDIX'!Y135</f>
        <v>0</v>
      </c>
      <c r="R68" s="33">
        <f>'OPTIONAL FULL MODEL APPENDIX'!AA135</f>
        <v>0</v>
      </c>
    </row>
    <row r="71" spans="12:18" ht="17.25">
      <c r="L71" t="s">
        <v>264</v>
      </c>
      <c r="N71" s="75">
        <f>'OPTIONAL FULL MODEL APPENDIX'!W155</f>
        <v>4.5276282722994665E-16</v>
      </c>
      <c r="P71" s="75">
        <f>'OPTIONAL FULL MODEL APPENDIX'!Y155</f>
        <v>4.5276282722994665E-16</v>
      </c>
      <c r="R71" s="75">
        <f>'OPTIONAL FULL MODEL APPENDIX'!AA155</f>
        <v>4.5276282722994665E-16</v>
      </c>
    </row>
    <row r="74" spans="12:18">
      <c r="L74" t="s">
        <v>265</v>
      </c>
      <c r="N74" s="1">
        <f>'External Sector Dashboard'!J38</f>
        <v>3.0275750000000379E-2</v>
      </c>
      <c r="P74" s="1">
        <f>'External Sector Dashboard'!L38</f>
        <v>3.0275749999999928E-2</v>
      </c>
      <c r="R74" s="1">
        <f>'External Sector Dashboard'!N38</f>
        <v>3.0275749999999928E-2</v>
      </c>
    </row>
    <row r="76" spans="12:18" ht="15.75" thickBot="1"/>
    <row r="77" spans="12:18" ht="16.5" thickTop="1" thickBot="1">
      <c r="L77" s="111" t="s">
        <v>328</v>
      </c>
      <c r="M77" s="112"/>
      <c r="N77" s="112"/>
      <c r="O77" s="112"/>
      <c r="P77" s="112"/>
      <c r="Q77" s="112"/>
      <c r="R77" s="113"/>
    </row>
    <row r="78" spans="12:18" ht="16.5" thickTop="1" thickBot="1"/>
    <row r="79" spans="12:18" ht="15.75" thickTop="1">
      <c r="L79" s="95" t="s">
        <v>337</v>
      </c>
      <c r="M79" s="96"/>
      <c r="N79" s="96"/>
      <c r="O79" s="96"/>
      <c r="P79" s="96"/>
      <c r="Q79" s="96"/>
      <c r="R79" s="97"/>
    </row>
    <row r="80" spans="12:18">
      <c r="L80" s="98" t="s">
        <v>329</v>
      </c>
      <c r="M80" s="99"/>
      <c r="N80" s="100">
        <f>N22</f>
        <v>0</v>
      </c>
      <c r="O80" s="99"/>
      <c r="P80" s="100">
        <f>P22</f>
        <v>0</v>
      </c>
      <c r="Q80" s="99"/>
      <c r="R80" s="101">
        <f>R22</f>
        <v>0</v>
      </c>
    </row>
    <row r="81" spans="12:18">
      <c r="L81" s="122" t="s">
        <v>349</v>
      </c>
      <c r="M81" s="99"/>
      <c r="N81" s="102">
        <f>1-NORMDIST(N80,N82,N83,TRUE)</f>
        <v>0.5</v>
      </c>
      <c r="O81" s="99"/>
      <c r="P81" s="102">
        <f>1-NORMDIST(P80,P82,P83,TRUE)</f>
        <v>0.5</v>
      </c>
      <c r="Q81" s="99"/>
      <c r="R81" s="103">
        <f>1-NORMDIST(R80,R82,R83,TRUE)</f>
        <v>0.5</v>
      </c>
    </row>
    <row r="82" spans="12:18">
      <c r="L82" s="98" t="s">
        <v>331</v>
      </c>
      <c r="M82" s="99"/>
      <c r="N82" s="104">
        <f>IF(N97&lt;0,N97*N84,0)</f>
        <v>0</v>
      </c>
      <c r="O82" s="99"/>
      <c r="P82" s="104">
        <f>IF(P97&lt;0,P97*P84,0)</f>
        <v>0</v>
      </c>
      <c r="Q82" s="99"/>
      <c r="R82" s="105">
        <f>IF(R97&lt;0,R97*R84,0)</f>
        <v>0</v>
      </c>
    </row>
    <row r="83" spans="12:18">
      <c r="L83" s="98" t="s">
        <v>332</v>
      </c>
      <c r="M83" s="99"/>
      <c r="N83" s="104">
        <v>3.5000000000000003E-2</v>
      </c>
      <c r="O83" s="99"/>
      <c r="P83" s="104">
        <f>N83</f>
        <v>3.5000000000000003E-2</v>
      </c>
      <c r="Q83" s="99"/>
      <c r="R83" s="105">
        <f>P83</f>
        <v>3.5000000000000003E-2</v>
      </c>
    </row>
    <row r="84" spans="12:18">
      <c r="L84" s="98" t="s">
        <v>390</v>
      </c>
      <c r="M84" s="99"/>
      <c r="N84" s="115">
        <v>0</v>
      </c>
      <c r="O84" s="99"/>
      <c r="P84" s="115">
        <v>0</v>
      </c>
      <c r="Q84" s="99"/>
      <c r="R84" s="116">
        <v>0</v>
      </c>
    </row>
    <row r="85" spans="12:18" outlineLevel="1">
      <c r="L85" s="98" t="s">
        <v>333</v>
      </c>
      <c r="M85" s="99"/>
      <c r="N85" s="106">
        <f>NORMINV(0.99,$N$82,$N$83)</f>
        <v>8.1422175591429433E-2</v>
      </c>
      <c r="O85" s="99"/>
      <c r="P85" s="106">
        <f>NORMINV(0.99,$P$82,$P$83)</f>
        <v>8.1422175591429433E-2</v>
      </c>
      <c r="Q85" s="99"/>
      <c r="R85" s="107">
        <f>NORMINV(0.99,$R$82,$R$83)</f>
        <v>8.1422175591429433E-2</v>
      </c>
    </row>
    <row r="86" spans="12:18" outlineLevel="1">
      <c r="L86" s="98" t="s">
        <v>334</v>
      </c>
      <c r="M86" s="99"/>
      <c r="N86" s="106">
        <f>NORMINV(0.95,$N$82,$N$83)</f>
        <v>5.7569876943301512E-2</v>
      </c>
      <c r="O86" s="99"/>
      <c r="P86" s="106">
        <f>NORMINV(0.95,$P$82,$P$83)</f>
        <v>5.7569876943301512E-2</v>
      </c>
      <c r="Q86" s="99"/>
      <c r="R86" s="107">
        <f>NORMINV(0.95,$R$82,$R$83)</f>
        <v>5.7569876943301512E-2</v>
      </c>
    </row>
    <row r="87" spans="12:18" outlineLevel="1">
      <c r="L87" s="98" t="s">
        <v>335</v>
      </c>
      <c r="M87" s="99"/>
      <c r="N87" s="106">
        <f>NORMINV(0.9,$N$82,$N$83)</f>
        <v>4.4854304794061023E-2</v>
      </c>
      <c r="O87" s="99"/>
      <c r="P87" s="106">
        <f>NORMINV(0.9,$P$82,$P$83)</f>
        <v>4.4854304794061023E-2</v>
      </c>
      <c r="Q87" s="99"/>
      <c r="R87" s="107">
        <f>NORMINV(0.9,$R$82,$R$83)</f>
        <v>4.4854304794061023E-2</v>
      </c>
    </row>
    <row r="88" spans="12:18" outlineLevel="1">
      <c r="L88" s="161" t="s">
        <v>404</v>
      </c>
      <c r="M88" s="162"/>
      <c r="N88" s="106"/>
      <c r="O88" s="162"/>
      <c r="P88" s="106"/>
      <c r="Q88" s="162"/>
      <c r="R88" s="107"/>
    </row>
    <row r="89" spans="12:18" outlineLevel="1">
      <c r="L89" s="161" t="s">
        <v>333</v>
      </c>
      <c r="M89" s="162"/>
      <c r="N89" s="106">
        <f>((('OPTIONAL FULL MODEL APPENDIX'!$H$66*(1+'OPTIONAL FULL MODEL APPENDIX'!$K$71)+1)/'OPTIONAL FULL MODEL APPENDIX'!$J$95)+(('OPTIONAL FULL MODEL APPENDIX'!$K$44*(1+(1/(1+'OPTIONAL FULL MODEL APPENDIX'!$K$71))))/'OPTIONAL FULL MODEL APPENDIX'!$J$101)/'OPTIONAL FULL MODEL APPENDIX'!$J$95)*N85</f>
        <v>-4.6486766511448202E-2</v>
      </c>
      <c r="O89" s="162"/>
      <c r="P89" s="106">
        <f>((('OPTIONAL FULL MODEL APPENDIX'!$H$66*(1+'OPTIONAL FULL MODEL APPENDIX'!$K$71)+1)/'OPTIONAL FULL MODEL APPENDIX'!$J$95)+(('OPTIONAL FULL MODEL APPENDIX'!$K$44*(1+(1/(1+'OPTIONAL FULL MODEL APPENDIX'!$K$71))))/'OPTIONAL FULL MODEL APPENDIX'!$J$101)/'OPTIONAL FULL MODEL APPENDIX'!$J$95)*P85</f>
        <v>-4.6486766511448202E-2</v>
      </c>
      <c r="Q89" s="162"/>
      <c r="R89" s="107">
        <f>((('OPTIONAL FULL MODEL APPENDIX'!$H$66*(1+'OPTIONAL FULL MODEL APPENDIX'!$K$71)+1)/'OPTIONAL FULL MODEL APPENDIX'!$J$95)+(('OPTIONAL FULL MODEL APPENDIX'!$K$44*(1+(1/(1+'OPTIONAL FULL MODEL APPENDIX'!$K$71))))/'OPTIONAL FULL MODEL APPENDIX'!$J$101)/'OPTIONAL FULL MODEL APPENDIX'!$J$95)*R85</f>
        <v>-4.6486766511448202E-2</v>
      </c>
    </row>
    <row r="90" spans="12:18" outlineLevel="1">
      <c r="L90" s="161" t="s">
        <v>334</v>
      </c>
      <c r="M90" s="162"/>
      <c r="N90" s="106">
        <f>((('OPTIONAL FULL MODEL APPENDIX'!$H$66*(1+'OPTIONAL FULL MODEL APPENDIX'!$K$71)+1)/'OPTIONAL FULL MODEL APPENDIX'!$J$95)+(('OPTIONAL FULL MODEL APPENDIX'!$K$44*(1+(1/(1+'OPTIONAL FULL MODEL APPENDIX'!$K$71))))/'OPTIONAL FULL MODEL APPENDIX'!$J$101)/'OPTIONAL FULL MODEL APPENDIX'!$J$95)*N86</f>
        <v>-3.286865535238493E-2</v>
      </c>
      <c r="O90" s="162"/>
      <c r="P90" s="106">
        <f>((('OPTIONAL FULL MODEL APPENDIX'!$H$66*(1+'OPTIONAL FULL MODEL APPENDIX'!$K$71)+1)/'OPTIONAL FULL MODEL APPENDIX'!$J$95)+(('OPTIONAL FULL MODEL APPENDIX'!$K$44*(1+(1/(1+'OPTIONAL FULL MODEL APPENDIX'!$K$71))))/'OPTIONAL FULL MODEL APPENDIX'!$J$101)/'OPTIONAL FULL MODEL APPENDIX'!$J$95)*P86</f>
        <v>-3.286865535238493E-2</v>
      </c>
      <c r="Q90" s="162"/>
      <c r="R90" s="107">
        <f>((('OPTIONAL FULL MODEL APPENDIX'!$H$66*(1+'OPTIONAL FULL MODEL APPENDIX'!$K$71)+1)/'OPTIONAL FULL MODEL APPENDIX'!$J$95)+(('OPTIONAL FULL MODEL APPENDIX'!$K$44*(1+(1/(1+'OPTIONAL FULL MODEL APPENDIX'!$K$71))))/'OPTIONAL FULL MODEL APPENDIX'!$J$101)/'OPTIONAL FULL MODEL APPENDIX'!$J$95)*R86</f>
        <v>-3.286865535238493E-2</v>
      </c>
    </row>
    <row r="91" spans="12:18" outlineLevel="1">
      <c r="L91" s="161" t="s">
        <v>335</v>
      </c>
      <c r="M91" s="162"/>
      <c r="N91" s="106">
        <f>((('OPTIONAL FULL MODEL APPENDIX'!$H$66*(1+'OPTIONAL FULL MODEL APPENDIX'!$K$71)+1)/'OPTIONAL FULL MODEL APPENDIX'!$J$95)+(('OPTIONAL FULL MODEL APPENDIX'!$K$44*(1+(1/(1+'OPTIONAL FULL MODEL APPENDIX'!$K$71))))/'OPTIONAL FULL MODEL APPENDIX'!$J$101)/'OPTIONAL FULL MODEL APPENDIX'!$J$95)*N87</f>
        <v>-2.5608890684251491E-2</v>
      </c>
      <c r="O91" s="162"/>
      <c r="P91" s="106">
        <f>((('OPTIONAL FULL MODEL APPENDIX'!$H$66*(1+'OPTIONAL FULL MODEL APPENDIX'!$K$71)+1)/'OPTIONAL FULL MODEL APPENDIX'!$J$95)+(('OPTIONAL FULL MODEL APPENDIX'!$K$44*(1+(1/(1+'OPTIONAL FULL MODEL APPENDIX'!$K$71))))/'OPTIONAL FULL MODEL APPENDIX'!$J$101)/'OPTIONAL FULL MODEL APPENDIX'!$J$95)*P87</f>
        <v>-2.5608890684251491E-2</v>
      </c>
      <c r="Q91" s="162"/>
      <c r="R91" s="107">
        <f>((('OPTIONAL FULL MODEL APPENDIX'!$H$66*(1+'OPTIONAL FULL MODEL APPENDIX'!$K$71)+1)/'OPTIONAL FULL MODEL APPENDIX'!$J$95)+(('OPTIONAL FULL MODEL APPENDIX'!$K$44*(1+(1/(1+'OPTIONAL FULL MODEL APPENDIX'!$K$71))))/'OPTIONAL FULL MODEL APPENDIX'!$J$101)/'OPTIONAL FULL MODEL APPENDIX'!$J$95)*R87</f>
        <v>-2.5608890684251491E-2</v>
      </c>
    </row>
    <row r="92" spans="12:18" outlineLevel="1">
      <c r="L92" s="161"/>
      <c r="M92" s="162"/>
      <c r="N92" s="106"/>
      <c r="O92" s="162"/>
      <c r="P92" s="106"/>
      <c r="Q92" s="162"/>
      <c r="R92" s="107"/>
    </row>
    <row r="93" spans="12:18">
      <c r="L93" s="98" t="s">
        <v>336</v>
      </c>
      <c r="M93" s="99"/>
      <c r="N93" s="106"/>
      <c r="O93" s="99"/>
      <c r="P93" s="106"/>
      <c r="Q93" s="99"/>
      <c r="R93" s="107"/>
    </row>
    <row r="94" spans="12:18" ht="15.75" thickBot="1">
      <c r="L94" s="108" t="s">
        <v>340</v>
      </c>
      <c r="M94" s="109"/>
      <c r="N94" s="109"/>
      <c r="O94" s="109"/>
      <c r="P94" s="109"/>
      <c r="Q94" s="109"/>
      <c r="R94" s="110"/>
    </row>
    <row r="95" spans="12:18" ht="16.5" thickTop="1" thickBot="1"/>
    <row r="96" spans="12:18" ht="15.75" thickTop="1">
      <c r="L96" s="95" t="s">
        <v>338</v>
      </c>
      <c r="M96" s="96"/>
      <c r="N96" s="96"/>
      <c r="O96" s="96"/>
      <c r="P96" s="96"/>
      <c r="Q96" s="96"/>
      <c r="R96" s="97"/>
    </row>
    <row r="97" spans="12:18">
      <c r="L97" s="98" t="s">
        <v>329</v>
      </c>
      <c r="M97" s="99"/>
      <c r="N97" s="100">
        <f>N31</f>
        <v>0</v>
      </c>
      <c r="O97" s="99"/>
      <c r="P97" s="100">
        <f>P31</f>
        <v>0</v>
      </c>
      <c r="Q97" s="99"/>
      <c r="R97" s="101">
        <f>R31</f>
        <v>0</v>
      </c>
    </row>
    <row r="98" spans="12:18">
      <c r="L98" s="122" t="s">
        <v>350</v>
      </c>
      <c r="M98" s="99"/>
      <c r="N98" s="102">
        <f>NORMDIST(N97,N99,N100,TRUE)</f>
        <v>0.5</v>
      </c>
      <c r="O98" s="99"/>
      <c r="P98" s="102">
        <f>NORMDIST(P97,P99,P100,TRUE)</f>
        <v>0.5</v>
      </c>
      <c r="Q98" s="99"/>
      <c r="R98" s="103">
        <f>NORMDIST(R97,R99,R100,TRUE)</f>
        <v>0.5</v>
      </c>
    </row>
    <row r="99" spans="12:18">
      <c r="L99" s="98" t="s">
        <v>331</v>
      </c>
      <c r="M99" s="99"/>
      <c r="N99" s="104">
        <v>0</v>
      </c>
      <c r="O99" s="99"/>
      <c r="P99" s="119">
        <f>N99</f>
        <v>0</v>
      </c>
      <c r="Q99" s="99"/>
      <c r="R99" s="105">
        <f>P99</f>
        <v>0</v>
      </c>
    </row>
    <row r="100" spans="12:18">
      <c r="L100" s="98" t="s">
        <v>332</v>
      </c>
      <c r="M100" s="99"/>
      <c r="N100" s="104">
        <v>7.0000000000000007E-2</v>
      </c>
      <c r="O100" s="99"/>
      <c r="P100" s="104">
        <f>N100</f>
        <v>7.0000000000000007E-2</v>
      </c>
      <c r="Q100" s="99"/>
      <c r="R100" s="105">
        <f>P100</f>
        <v>7.0000000000000007E-2</v>
      </c>
    </row>
    <row r="101" spans="12:18" outlineLevel="1">
      <c r="L101" s="98" t="s">
        <v>333</v>
      </c>
      <c r="M101" s="99"/>
      <c r="N101" s="106">
        <f>NORMINV(1-0.99,$N$99,$N$100)</f>
        <v>-0.16284435118285887</v>
      </c>
      <c r="O101" s="99"/>
      <c r="P101" s="106">
        <f>NORMINV(1-0.99,$P$99,$P$100)</f>
        <v>-0.16284435118285887</v>
      </c>
      <c r="Q101" s="99"/>
      <c r="R101" s="107">
        <f>NORMINV(1-0.99,$R$99,$R$100)</f>
        <v>-0.16284435118285887</v>
      </c>
    </row>
    <row r="102" spans="12:18" outlineLevel="1">
      <c r="L102" s="98" t="s">
        <v>334</v>
      </c>
      <c r="M102" s="99"/>
      <c r="N102" s="106">
        <f>NORMINV(1-0.95,$N$99,$N$100)</f>
        <v>-0.11513975388660302</v>
      </c>
      <c r="O102" s="99"/>
      <c r="P102" s="106">
        <f>NORMINV(1-0.95,$P$99,$P$100)</f>
        <v>-0.11513975388660302</v>
      </c>
      <c r="Q102" s="99"/>
      <c r="R102" s="107">
        <f>NORMINV(1-0.95,$R$99,$R$100)</f>
        <v>-0.11513975388660302</v>
      </c>
    </row>
    <row r="103" spans="12:18" outlineLevel="1">
      <c r="L103" s="98" t="s">
        <v>335</v>
      </c>
      <c r="M103" s="99"/>
      <c r="N103" s="106">
        <f>NORMINV(1-0.9,$N$99,$N$100)</f>
        <v>-8.9708609588122046E-2</v>
      </c>
      <c r="O103" s="99"/>
      <c r="P103" s="106">
        <f>NORMINV(1-0.9,$P$99,$P$100)</f>
        <v>-8.9708609588122046E-2</v>
      </c>
      <c r="Q103" s="99"/>
      <c r="R103" s="107">
        <f>NORMINV(1-0.9,$R$99,$R$100)</f>
        <v>-8.9708609588122046E-2</v>
      </c>
    </row>
    <row r="104" spans="12:18" outlineLevel="1">
      <c r="L104" s="98"/>
      <c r="M104" s="99"/>
      <c r="N104" s="106"/>
      <c r="O104" s="99"/>
      <c r="P104" s="106"/>
      <c r="Q104" s="99"/>
      <c r="R104" s="107"/>
    </row>
    <row r="105" spans="12:18" hidden="1" outlineLevel="1">
      <c r="L105" s="98" t="s">
        <v>341</v>
      </c>
      <c r="M105" s="99"/>
      <c r="N105" s="123" t="str">
        <f>"Correlation="&amp;N84</f>
        <v>Correlation=0</v>
      </c>
      <c r="O105" s="99"/>
      <c r="P105" s="123" t="str">
        <f>"Correlation="&amp;P84</f>
        <v>Correlation=0</v>
      </c>
      <c r="Q105" s="125"/>
      <c r="R105" s="124" t="str">
        <f>"Correlation="&amp;R84</f>
        <v>Correlation=0</v>
      </c>
    </row>
    <row r="106" spans="12:18" hidden="1" outlineLevel="1">
      <c r="L106" s="98" t="s">
        <v>333</v>
      </c>
      <c r="M106" s="99"/>
      <c r="N106" s="106">
        <f>N101*N$84</f>
        <v>0</v>
      </c>
      <c r="O106" s="99"/>
      <c r="P106" s="106">
        <f>P101*P$84</f>
        <v>0</v>
      </c>
      <c r="Q106" s="99"/>
      <c r="R106" s="107">
        <f>R101*R$84</f>
        <v>0</v>
      </c>
    </row>
    <row r="107" spans="12:18" hidden="1" outlineLevel="1">
      <c r="L107" s="98" t="s">
        <v>334</v>
      </c>
      <c r="M107" s="99"/>
      <c r="N107" s="106">
        <f t="shared" ref="N107:P108" si="0">N102*N$84</f>
        <v>0</v>
      </c>
      <c r="O107" s="99"/>
      <c r="P107" s="106">
        <f t="shared" si="0"/>
        <v>0</v>
      </c>
      <c r="Q107" s="99"/>
      <c r="R107" s="107">
        <f t="shared" ref="R107" si="1">R102*R$84</f>
        <v>0</v>
      </c>
    </row>
    <row r="108" spans="12:18" hidden="1" outlineLevel="1">
      <c r="L108" s="98" t="s">
        <v>335</v>
      </c>
      <c r="M108" s="99"/>
      <c r="N108" s="106">
        <f t="shared" si="0"/>
        <v>0</v>
      </c>
      <c r="O108" s="99"/>
      <c r="P108" s="106">
        <f t="shared" si="0"/>
        <v>0</v>
      </c>
      <c r="Q108" s="99"/>
      <c r="R108" s="107">
        <f t="shared" ref="R108" si="2">R103*R$84</f>
        <v>0</v>
      </c>
    </row>
    <row r="109" spans="12:18" hidden="1" outlineLevel="1">
      <c r="L109" s="98"/>
      <c r="M109" s="99"/>
      <c r="N109" s="106"/>
      <c r="O109" s="99"/>
      <c r="P109" s="106"/>
      <c r="Q109" s="99"/>
      <c r="R109" s="107"/>
    </row>
    <row r="110" spans="12:18" outlineLevel="1">
      <c r="L110" s="98" t="s">
        <v>405</v>
      </c>
      <c r="M110" s="99"/>
      <c r="N110" s="106"/>
      <c r="O110" s="99"/>
      <c r="P110" s="106"/>
      <c r="Q110" s="99"/>
      <c r="R110" s="107"/>
    </row>
    <row r="111" spans="12:18" outlineLevel="1">
      <c r="L111" s="98" t="s">
        <v>333</v>
      </c>
      <c r="M111" s="99"/>
      <c r="N111" s="106">
        <f>((('OPTIONAL FULL MODEL APPENDIX'!$H$46*N101)/'OPTIONAL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APPENDIX'!$J$95)))*N106)</f>
        <v>-4.4802055642503606E-2</v>
      </c>
      <c r="O111" s="99"/>
      <c r="P111" s="106">
        <f>((('OPTIONAL FULL MODEL APPENDIX'!$H$46*P101)/'OPTIONAL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APPENDIX'!$J$95)))*P106)</f>
        <v>-4.4802055642503606E-2</v>
      </c>
      <c r="Q111" s="99"/>
      <c r="R111" s="107">
        <f>((('OPTIONAL FULL MODEL APPENDIX'!$H$46*R101)/'OPTIONAL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APPENDIX'!$J$95)))*R106)</f>
        <v>-4.4802055642503606E-2</v>
      </c>
    </row>
    <row r="112" spans="12:18" outlineLevel="1">
      <c r="L112" s="98" t="s">
        <v>334</v>
      </c>
      <c r="M112" s="99"/>
      <c r="N112" s="106">
        <f>((('OPTIONAL FULL MODEL APPENDIX'!$H$46*N102)/'OPTIONAL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APPENDIX'!$J$95)))*N107)</f>
        <v>-3.1677473752216634E-2</v>
      </c>
      <c r="O112" s="99"/>
      <c r="P112" s="106">
        <f>((('OPTIONAL FULL MODEL APPENDIX'!$H$46*P102)/'OPTIONAL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APPENDIX'!$J$95)))*P107)</f>
        <v>-3.1677473752216634E-2</v>
      </c>
      <c r="Q112" s="99"/>
      <c r="R112" s="107">
        <f>((('OPTIONAL FULL MODEL APPENDIX'!$H$46*R102)/'OPTIONAL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APPENDIX'!$J$95)))*R107)</f>
        <v>-3.1677473752216634E-2</v>
      </c>
    </row>
    <row r="113" spans="12:18" outlineLevel="1">
      <c r="L113" s="98" t="s">
        <v>335</v>
      </c>
      <c r="M113" s="99"/>
      <c r="N113" s="106">
        <f>((('OPTIONAL FULL MODEL APPENDIX'!$H$46*N103)/'OPTIONAL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APPENDIX'!$J$95)))*N108)</f>
        <v>-2.4680807711073578E-2</v>
      </c>
      <c r="O113" s="99"/>
      <c r="P113" s="106">
        <f>((('OPTIONAL FULL MODEL APPENDIX'!$H$46*P103)/'OPTIONAL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APPENDIX'!$J$95)))*P108)</f>
        <v>-2.4680807711073578E-2</v>
      </c>
      <c r="Q113" s="99"/>
      <c r="R113" s="107">
        <f>((('OPTIONAL FULL MODEL APPENDIX'!$H$46*R103)/'OPTIONAL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APPENDIX'!$J$95)))*R108)</f>
        <v>-2.4680807711073578E-2</v>
      </c>
    </row>
    <row r="114" spans="12:18" outlineLevel="1">
      <c r="L114" s="98"/>
      <c r="M114" s="99"/>
      <c r="N114" s="106"/>
      <c r="O114" s="99"/>
      <c r="P114" s="106"/>
      <c r="Q114" s="99"/>
      <c r="R114" s="107"/>
    </row>
    <row r="115" spans="12:18" ht="15.75" thickBot="1">
      <c r="L115" s="108" t="s">
        <v>336</v>
      </c>
      <c r="M115" s="109"/>
      <c r="N115" s="109"/>
      <c r="O115" s="109"/>
      <c r="P115" s="109"/>
      <c r="Q115" s="109"/>
      <c r="R115" s="110"/>
    </row>
    <row r="116" spans="12:18" ht="16.5" thickTop="1" thickBot="1"/>
    <row r="117" spans="12:18" ht="15.75" thickTop="1">
      <c r="L117" s="95" t="s">
        <v>339</v>
      </c>
      <c r="M117" s="96"/>
      <c r="N117" s="96"/>
      <c r="O117" s="96"/>
      <c r="P117" s="96"/>
      <c r="Q117" s="96"/>
      <c r="R117" s="97"/>
    </row>
    <row r="118" spans="12:18">
      <c r="L118" s="98" t="str">
        <f>IF(N84&lt;&gt;0,"SHOCKS NOT ASSUMED TO BE MUTUALLY INDEPENDENT","SHOCKS ASSUMED TO BE MUTUALLY INDEPENDENT")</f>
        <v>SHOCKS ASSUMED TO BE MUTUALLY INDEPENDENT</v>
      </c>
      <c r="M118" s="99"/>
      <c r="N118" s="99"/>
      <c r="O118" s="99"/>
      <c r="P118" s="99"/>
      <c r="Q118" s="99"/>
      <c r="R118" s="114"/>
    </row>
    <row r="119" spans="12:18">
      <c r="L119" s="98" t="s">
        <v>330</v>
      </c>
      <c r="M119" s="99"/>
      <c r="N119" s="102">
        <f>N81*N98</f>
        <v>0.25</v>
      </c>
      <c r="O119" s="99"/>
      <c r="P119" s="102">
        <f>P81*P98</f>
        <v>0.25</v>
      </c>
      <c r="Q119" s="99"/>
      <c r="R119" s="103">
        <f>R81*R98</f>
        <v>0.25</v>
      </c>
    </row>
    <row r="120" spans="12:18">
      <c r="L120" s="98" t="s">
        <v>333</v>
      </c>
      <c r="M120" s="99"/>
      <c r="N120" s="117">
        <f>N85*N101</f>
        <v>-1.3259141356083134E-2</v>
      </c>
      <c r="O120" s="99"/>
      <c r="P120" s="117">
        <f>P85*P101</f>
        <v>-1.3259141356083134E-2</v>
      </c>
      <c r="Q120" s="99"/>
      <c r="R120" s="118">
        <f>R85*R101</f>
        <v>-1.3259141356083134E-2</v>
      </c>
    </row>
    <row r="121" spans="12:18">
      <c r="L121" s="98" t="s">
        <v>334</v>
      </c>
      <c r="M121" s="99"/>
      <c r="N121" s="117">
        <f>N86*N102</f>
        <v>-6.6285814625337584E-3</v>
      </c>
      <c r="O121" s="99"/>
      <c r="P121" s="117">
        <f>P86*P102</f>
        <v>-6.6285814625337584E-3</v>
      </c>
      <c r="Q121" s="99"/>
      <c r="R121" s="118">
        <f t="shared" ref="R121" si="3">R86*R102</f>
        <v>-6.6285814625337584E-3</v>
      </c>
    </row>
    <row r="122" spans="12:18">
      <c r="L122" s="98" t="s">
        <v>335</v>
      </c>
      <c r="M122" s="99"/>
      <c r="N122" s="117">
        <f>N87*N103</f>
        <v>-4.0238173171170512E-3</v>
      </c>
      <c r="O122" s="99"/>
      <c r="P122" s="117">
        <f>P87*P103</f>
        <v>-4.0238173171170512E-3</v>
      </c>
      <c r="Q122" s="99"/>
      <c r="R122" s="118">
        <f t="shared" ref="R122" si="4">R87*R103</f>
        <v>-4.0238173171170512E-3</v>
      </c>
    </row>
    <row r="123" spans="12:18" ht="15.75" thickBot="1">
      <c r="L123" s="108" t="s">
        <v>336</v>
      </c>
      <c r="M123" s="109"/>
      <c r="N123" s="109"/>
      <c r="O123" s="109"/>
      <c r="P123" s="109"/>
      <c r="Q123" s="109"/>
      <c r="R123" s="110"/>
    </row>
    <row r="124" spans="12:18" ht="15.75" thickTop="1"/>
    <row r="125" spans="12:18" ht="15.75" thickBot="1"/>
    <row r="126" spans="12:18" ht="15.75" thickTop="1">
      <c r="L126" s="95" t="s">
        <v>403</v>
      </c>
      <c r="M126" s="96"/>
      <c r="N126" s="96"/>
      <c r="O126" s="96"/>
      <c r="P126" s="96"/>
      <c r="Q126" s="96"/>
      <c r="R126" s="97"/>
    </row>
    <row r="127" spans="12:18">
      <c r="L127" s="98"/>
      <c r="M127" s="99"/>
      <c r="N127" s="125" t="s">
        <v>400</v>
      </c>
      <c r="O127" s="125"/>
      <c r="P127" s="125" t="s">
        <v>401</v>
      </c>
      <c r="Q127" s="125"/>
      <c r="R127" s="135" t="s">
        <v>402</v>
      </c>
    </row>
    <row r="128" spans="12:18">
      <c r="L128" s="98" t="s">
        <v>360</v>
      </c>
      <c r="M128" s="99"/>
      <c r="O128" s="127"/>
      <c r="P128" s="126"/>
      <c r="Q128" s="127"/>
      <c r="R128" s="128"/>
    </row>
    <row r="129" spans="12:20">
      <c r="L129" s="98" t="s">
        <v>355</v>
      </c>
      <c r="M129" s="99"/>
      <c r="N129" s="131">
        <f>N100</f>
        <v>7.0000000000000007E-2</v>
      </c>
      <c r="O129" s="132"/>
      <c r="P129" s="119">
        <f>P100</f>
        <v>7.0000000000000007E-2</v>
      </c>
      <c r="Q129" s="133"/>
      <c r="R129" s="134">
        <f>R100</f>
        <v>7.0000000000000007E-2</v>
      </c>
    </row>
    <row r="130" spans="12:20">
      <c r="L130" s="98" t="s">
        <v>356</v>
      </c>
      <c r="M130" s="99"/>
      <c r="N130" s="106">
        <f>NORMINV(1-0.99,0,$N$129)</f>
        <v>-0.16284435118285887</v>
      </c>
      <c r="O130" s="99"/>
      <c r="P130" s="106">
        <f>NORMINV(1-0.99,0,$P$129)</f>
        <v>-0.16284435118285887</v>
      </c>
      <c r="Q130" s="99"/>
      <c r="R130" s="107">
        <f>NORMINV(1-0.99,0,$R$129)</f>
        <v>-0.16284435118285887</v>
      </c>
    </row>
    <row r="131" spans="12:20">
      <c r="L131" s="98" t="s">
        <v>357</v>
      </c>
      <c r="M131" s="99"/>
      <c r="N131" s="106">
        <f>NORMINV(1-0.95,0,$N$129)</f>
        <v>-0.11513975388660302</v>
      </c>
      <c r="O131" s="99"/>
      <c r="P131" s="106">
        <f>NORMINV(1-0.95,0,$P$129)</f>
        <v>-0.11513975388660302</v>
      </c>
      <c r="Q131" s="99"/>
      <c r="R131" s="107">
        <f>NORMINV(1-0.95,0,$R$129)</f>
        <v>-0.11513975388660302</v>
      </c>
    </row>
    <row r="132" spans="12:20">
      <c r="L132" s="98" t="s">
        <v>358</v>
      </c>
      <c r="M132" s="99"/>
      <c r="N132" s="106">
        <f>NORMINV(1-0.909,0,$N$129)</f>
        <v>-9.3423560069013575E-2</v>
      </c>
      <c r="O132" s="99"/>
      <c r="P132" s="106">
        <f>NORMINV(1-0.909,0,$P$129)</f>
        <v>-9.3423560069013575E-2</v>
      </c>
      <c r="Q132" s="99"/>
      <c r="R132" s="107">
        <f>NORMINV(1-0.909,0,$R$129)</f>
        <v>-9.3423560069013575E-2</v>
      </c>
    </row>
    <row r="133" spans="12:20">
      <c r="L133" s="98"/>
      <c r="M133" s="99"/>
      <c r="N133" s="106"/>
      <c r="O133" s="99"/>
      <c r="P133" s="106"/>
      <c r="Q133" s="99"/>
      <c r="R133" s="107"/>
    </row>
    <row r="134" spans="12:20">
      <c r="L134" s="98" t="s">
        <v>359</v>
      </c>
      <c r="M134" s="99"/>
      <c r="N134" s="123"/>
      <c r="O134" s="99"/>
      <c r="P134" s="123"/>
      <c r="Q134" s="125"/>
      <c r="R134" s="124"/>
    </row>
    <row r="135" spans="12:20">
      <c r="L135" s="98" t="s">
        <v>361</v>
      </c>
      <c r="M135" s="99"/>
      <c r="N135" s="130">
        <f>N84</f>
        <v>0</v>
      </c>
      <c r="O135" s="99"/>
      <c r="P135" s="115">
        <f>P84*0-0.2</f>
        <v>-0.2</v>
      </c>
      <c r="Q135" s="125"/>
      <c r="R135" s="116">
        <v>-0.4</v>
      </c>
    </row>
    <row r="136" spans="12:20">
      <c r="L136" s="98" t="s">
        <v>351</v>
      </c>
      <c r="M136" s="99"/>
      <c r="N136" s="106">
        <f>MAX(N130*N$135,0)</f>
        <v>0</v>
      </c>
      <c r="O136" s="99"/>
      <c r="P136" s="106">
        <f>MAX(P130*P$135,0)</f>
        <v>3.2568870236571776E-2</v>
      </c>
      <c r="Q136" s="99"/>
      <c r="R136" s="107">
        <f>MAX(R130*R$135)</f>
        <v>6.5137740473143552E-2</v>
      </c>
    </row>
    <row r="137" spans="12:20">
      <c r="L137" s="98" t="s">
        <v>352</v>
      </c>
      <c r="M137" s="99"/>
      <c r="N137" s="106">
        <f t="shared" ref="N137:N138" si="5">MAX(N131*N$135,0)</f>
        <v>0</v>
      </c>
      <c r="O137" s="99"/>
      <c r="P137" s="106">
        <f t="shared" ref="P137:P138" si="6">MAX(P131*P$135,0)</f>
        <v>2.3027950777320606E-2</v>
      </c>
      <c r="Q137" s="99"/>
      <c r="R137" s="107">
        <f t="shared" ref="R137:R138" si="7">MAX(R131*R$135)</f>
        <v>4.6055901554641211E-2</v>
      </c>
    </row>
    <row r="138" spans="12:20">
      <c r="L138" s="98" t="s">
        <v>353</v>
      </c>
      <c r="M138" s="99"/>
      <c r="N138" s="106">
        <f t="shared" si="5"/>
        <v>0</v>
      </c>
      <c r="O138" s="99"/>
      <c r="P138" s="106">
        <f t="shared" si="6"/>
        <v>1.8684712013802715E-2</v>
      </c>
      <c r="Q138" s="99"/>
      <c r="R138" s="107">
        <f t="shared" si="7"/>
        <v>3.736942402760543E-2</v>
      </c>
    </row>
    <row r="139" spans="12:20">
      <c r="L139" s="98"/>
      <c r="M139" s="99"/>
      <c r="N139" s="106"/>
      <c r="O139" s="99"/>
      <c r="P139" s="106"/>
      <c r="Q139" s="99"/>
      <c r="R139" s="107"/>
    </row>
    <row r="140" spans="12:20">
      <c r="L140" s="98" t="s">
        <v>354</v>
      </c>
      <c r="M140" s="99"/>
      <c r="N140" s="106"/>
      <c r="O140" s="99"/>
      <c r="P140" s="106"/>
      <c r="Q140" s="99"/>
      <c r="R140" s="107"/>
    </row>
    <row r="141" spans="12:20">
      <c r="L141" s="98" t="s">
        <v>351</v>
      </c>
      <c r="M141" s="99"/>
      <c r="N141" s="106">
        <f>((('OPTIONAL FULL MODEL APPENDIX'!$H$46*N130)/'OPTIONAL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APPENDIX'!$J$95)))*N136)</f>
        <v>-4.4802055642503606E-2</v>
      </c>
      <c r="O141" s="99"/>
      <c r="P141" s="106">
        <f>((('OPTIONAL FULL MODEL APPENDIX'!$H$46*P130)/'OPTIONAL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APPENDIX'!$J$95)))*P136)</f>
        <v>-6.3396762247082891E-2</v>
      </c>
      <c r="Q141" s="99"/>
      <c r="R141" s="107">
        <f>((('OPTIONAL FULL MODEL APPENDIX'!$H$46*R130)/'OPTIONAL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APPENDIX'!$J$95)))*R136)</f>
        <v>-8.1991468851662169E-2</v>
      </c>
      <c r="T141" s="129"/>
    </row>
    <row r="142" spans="12:20">
      <c r="L142" s="98" t="s">
        <v>352</v>
      </c>
      <c r="M142" s="99"/>
      <c r="N142" s="106">
        <f>((('OPTIONAL FULL MODEL APPENDIX'!$H$46*N131)/'OPTIONAL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APPENDIX'!$J$95)))*N137)</f>
        <v>-3.1677473752216634E-2</v>
      </c>
      <c r="O142" s="99"/>
      <c r="P142" s="106">
        <f>((('OPTIONAL FULL MODEL APPENDIX'!$H$46*P131)/'OPTIONAL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APPENDIX'!$J$95)))*P137)</f>
        <v>-4.4824935893170603E-2</v>
      </c>
      <c r="Q142" s="99"/>
      <c r="R142" s="107">
        <f>((('OPTIONAL FULL MODEL APPENDIX'!$H$46*R131)/'OPTIONAL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APPENDIX'!$J$95)))*R137)</f>
        <v>-5.797239803412458E-2</v>
      </c>
      <c r="T142" s="129"/>
    </row>
    <row r="143" spans="12:20">
      <c r="L143" s="98" t="s">
        <v>353</v>
      </c>
      <c r="M143" s="99"/>
      <c r="N143" s="106">
        <f>((('OPTIONAL FULL MODEL APPENDIX'!$H$46*N132)/'OPTIONAL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APPENDIX'!$J$95)))*N138)</f>
        <v>-2.5702872136060317E-2</v>
      </c>
      <c r="O143" s="99"/>
      <c r="P143" s="106">
        <f>((('OPTIONAL FULL MODEL APPENDIX'!$H$46*P132)/'OPTIONAL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APPENDIX'!$J$95)))*P138)</f>
        <v>-3.6370627430119623E-2</v>
      </c>
      <c r="Q143" s="99"/>
      <c r="R143" s="107">
        <f>((('OPTIONAL FULL MODEL APPENDIX'!$H$46*R132)/'OPTIONAL FULL MODEL APPENDIX'!$J$101)/'OPTIONAL FULL MODEL APPENDIX'!$J$95)+((((('OPTIONAL FULL MODEL APPENDIX'!$H$66*(1+'OPTIONAL FULL MODEL APPENDIX'!$K$71))+1)/'OPTIONAL FULL MODEL APPENDIX'!$J$95+((('OPTIONAL FULL MODEL APPENDIX'!$K$44*(1+(1/(1+'OPTIONAL FULL MODEL APPENDIX'!$K$71))))/'OPTIONAL FULL MODEL APPENDIX'!$J$101)/'OPTIONAL FULL MODEL APPENDIX'!$J$95)))*R138)</f>
        <v>-4.7038382724178929E-2</v>
      </c>
      <c r="T143" s="129"/>
    </row>
    <row r="144" spans="12:20">
      <c r="L144" s="98"/>
      <c r="M144" s="99"/>
      <c r="N144" s="106"/>
      <c r="O144" s="99"/>
      <c r="P144" s="106"/>
      <c r="Q144" s="99"/>
      <c r="R144" s="107"/>
    </row>
    <row r="145" spans="12:18">
      <c r="L145" s="136" t="s">
        <v>336</v>
      </c>
      <c r="M145" s="99"/>
      <c r="N145" s="106"/>
      <c r="O145" s="99"/>
      <c r="P145" s="106"/>
      <c r="Q145" s="99"/>
      <c r="R145" s="107"/>
    </row>
    <row r="146" spans="12:18" ht="15.75" thickBot="1">
      <c r="L146" s="137" t="s">
        <v>362</v>
      </c>
      <c r="M146" s="109"/>
      <c r="N146" s="109"/>
      <c r="O146" s="109"/>
      <c r="P146" s="109"/>
      <c r="Q146" s="109"/>
      <c r="R146" s="110"/>
    </row>
    <row r="147" spans="12:18" ht="15.75" thickTop="1"/>
    <row r="149" spans="12:18">
      <c r="L149" s="3" t="s">
        <v>386</v>
      </c>
      <c r="M149" s="3"/>
      <c r="N149" s="151">
        <f>N97</f>
        <v>0</v>
      </c>
      <c r="O149" s="3"/>
      <c r="P149" s="151">
        <f>P97</f>
        <v>0</v>
      </c>
      <c r="Q149" s="3"/>
      <c r="R149" s="151">
        <f>R97</f>
        <v>0</v>
      </c>
    </row>
    <row r="150" spans="12:18">
      <c r="L150" s="3" t="s">
        <v>387</v>
      </c>
      <c r="M150" s="3"/>
      <c r="N150" s="151">
        <f>N98</f>
        <v>0.5</v>
      </c>
      <c r="O150" s="3"/>
      <c r="P150" s="151">
        <f>P98</f>
        <v>0.5</v>
      </c>
      <c r="Q150" s="3"/>
      <c r="R150" s="151">
        <f>R98</f>
        <v>0.5</v>
      </c>
    </row>
    <row r="151" spans="12:18">
      <c r="L151" s="3" t="s">
        <v>388</v>
      </c>
      <c r="M151" s="3"/>
      <c r="N151" s="151">
        <f>N80</f>
        <v>0</v>
      </c>
      <c r="O151" s="3"/>
      <c r="P151" s="151">
        <f>P80</f>
        <v>0</v>
      </c>
      <c r="Q151" s="3"/>
      <c r="R151" s="151">
        <f>R80</f>
        <v>0</v>
      </c>
    </row>
    <row r="152" spans="12:18">
      <c r="L152" s="3" t="s">
        <v>387</v>
      </c>
      <c r="M152" s="3"/>
      <c r="N152" s="151">
        <f>N81</f>
        <v>0.5</v>
      </c>
      <c r="O152" s="3"/>
      <c r="P152" s="151">
        <f>P81</f>
        <v>0.5</v>
      </c>
      <c r="Q152" s="3"/>
      <c r="R152" s="151">
        <f>R81</f>
        <v>0.5</v>
      </c>
    </row>
    <row r="153" spans="12:18">
      <c r="L153" s="3" t="s">
        <v>389</v>
      </c>
      <c r="M153" s="3"/>
      <c r="N153" s="151">
        <f>N150*N152</f>
        <v>0.25</v>
      </c>
      <c r="O153" s="3"/>
      <c r="P153" s="151">
        <f>P150*P152</f>
        <v>0.25</v>
      </c>
      <c r="Q153" s="3"/>
      <c r="R153" s="151">
        <f>R150*R152</f>
        <v>0.25</v>
      </c>
    </row>
    <row r="154" spans="12:18">
      <c r="L154" s="3"/>
      <c r="M154" s="3"/>
      <c r="N154" s="3"/>
      <c r="O154" s="3"/>
      <c r="P154" s="3"/>
      <c r="Q154" s="3"/>
      <c r="R154" s="3"/>
    </row>
    <row r="155" spans="12:18">
      <c r="L155" s="3"/>
      <c r="M155" s="3"/>
      <c r="N155" s="3"/>
      <c r="O155" s="3"/>
      <c r="P155" s="3"/>
      <c r="Q155" s="3"/>
      <c r="R155" s="3"/>
    </row>
    <row r="156" spans="12:18">
      <c r="L156" s="3"/>
      <c r="M156" s="3"/>
      <c r="N156" s="3"/>
      <c r="O156" s="3"/>
      <c r="P156" s="3"/>
      <c r="Q156" s="3"/>
      <c r="R156" s="3"/>
    </row>
    <row r="157" spans="12:18">
      <c r="L157" s="3" t="s">
        <v>384</v>
      </c>
      <c r="M157" s="3"/>
      <c r="N157" s="152">
        <f>'Fiscal and CB Dashboard'!J33</f>
        <v>0.53896103896103897</v>
      </c>
      <c r="O157" s="3"/>
      <c r="P157" s="152">
        <f>'Fiscal and CB Dashboard'!L33</f>
        <v>0.53896103896103897</v>
      </c>
      <c r="Q157" s="3"/>
      <c r="R157" s="152">
        <f>'Fiscal and CB Dashboard'!N33</f>
        <v>0.53896103896103897</v>
      </c>
    </row>
    <row r="158" spans="12:18">
      <c r="L158" s="3" t="s">
        <v>385</v>
      </c>
      <c r="M158" s="3"/>
      <c r="N158" s="152">
        <f>'External Sector Dashboard'!J71</f>
        <v>0.30615351911970118</v>
      </c>
      <c r="O158" s="3"/>
      <c r="P158" s="152">
        <f>'External Sector Dashboard'!L71</f>
        <v>0.30252626361247165</v>
      </c>
      <c r="Q158" s="3"/>
      <c r="R158" s="152">
        <f>'External Sector Dashboard'!N71</f>
        <v>0.30615351911970101</v>
      </c>
    </row>
  </sheetData>
  <sheetProtection algorithmName="SHA-512" hashValue="p/qlSiEr2gVx4f2JgUsGydY51od/9BxZv3weS0pLz6ECx1mQw8fNlVSU9PMnoW/Xo3orJI/B/gLXGMpjFc4FYQ==" saltValue="d/keXlBrReG2PIuB+x4MYw==" spinCount="100000" sheet="1" objects="1" scenarios="1"/>
  <protectedRanges>
    <protectedRange sqref="R32:R33" name="Range18"/>
    <protectedRange sqref="P32:P33" name="Range17"/>
    <protectedRange sqref="N32:N33" name="Range16"/>
    <protectedRange sqref="R23:R24" name="Range15"/>
    <protectedRange sqref="P23:P24" name="Range14"/>
    <protectedRange sqref="N23:N24" name="Range13"/>
    <protectedRange sqref="R19" name="Range12"/>
    <protectedRange sqref="P19" name="Range11"/>
    <protectedRange sqref="N19" name="Range10"/>
    <protectedRange sqref="R15:R16" name="Range9"/>
    <protectedRange sqref="P15:P16" name="Range8"/>
    <protectedRange sqref="N15:N16" name="Range7"/>
    <protectedRange sqref="R10:R11" name="Range6"/>
    <protectedRange sqref="P10:P11" name="Range5"/>
    <protectedRange sqref="N10:N11" name="Range4"/>
    <protectedRange sqref="R7:R8" name="Range3"/>
    <protectedRange sqref="P7:P8" name="Range2"/>
    <protectedRange sqref="N7:N8" name="Range1"/>
  </protectedRanges>
  <hyperlinks>
    <hyperlink ref="B62" r:id="rId1"/>
  </hyperlinks>
  <pageMargins left="0.7" right="0.7" top="0.75" bottom="0.75" header="0.3" footer="0.3"/>
  <pageSetup orientation="portrait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I2:N2"/>
  <sheetViews>
    <sheetView showGridLines="0" topLeftCell="E1" workbookViewId="0">
      <selection activeCell="AB7" sqref="AB7"/>
    </sheetView>
  </sheetViews>
  <sheetFormatPr defaultRowHeight="15"/>
  <sheetData>
    <row r="2" spans="9:14">
      <c r="I2" t="s">
        <v>381</v>
      </c>
      <c r="L2" t="s">
        <v>382</v>
      </c>
      <c r="N2" t="s">
        <v>383</v>
      </c>
    </row>
  </sheetData>
  <sheetProtection algorithmName="SHA-512" hashValue="V7kO/kJhHa5I7BMoDmD8w553UuA2VGQAN1oHhDyLrD2alWomUp1s/dOy30ujdUkAvTQsOAMhkpitgOmvOULMXQ==" saltValue="/VArlOBFm4RP2rNoef/6tw==" spinCount="100000" sheet="1" objects="1" scenarios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CK213"/>
  <sheetViews>
    <sheetView showGridLines="0" zoomScale="50" zoomScaleNormal="50" workbookViewId="0">
      <selection activeCell="N30" sqref="N30"/>
    </sheetView>
  </sheetViews>
  <sheetFormatPr defaultRowHeight="15"/>
  <cols>
    <col min="2" max="2" width="34.85546875" customWidth="1"/>
    <col min="3" max="3" width="9.85546875" bestFit="1" customWidth="1"/>
    <col min="6" max="6" width="10" bestFit="1" customWidth="1"/>
    <col min="19" max="19" width="8.85546875" customWidth="1"/>
    <col min="20" max="20" width="19.28515625" customWidth="1"/>
    <col min="21" max="21" width="37.5703125" customWidth="1"/>
    <col min="22" max="22" width="14" customWidth="1"/>
    <col min="25" max="25" width="8.42578125" customWidth="1"/>
    <col min="45" max="45" width="8.5703125" customWidth="1"/>
    <col min="80" max="80" width="8.42578125" customWidth="1"/>
  </cols>
  <sheetData>
    <row r="2" spans="2:89">
      <c r="B2" t="s">
        <v>0</v>
      </c>
      <c r="E2" t="s">
        <v>31</v>
      </c>
      <c r="W2" t="s">
        <v>20</v>
      </c>
    </row>
    <row r="3" spans="2:89" ht="18.75">
      <c r="B3" t="s">
        <v>68</v>
      </c>
      <c r="C3">
        <v>9.5525913320967106</v>
      </c>
      <c r="T3" t="s">
        <v>24</v>
      </c>
      <c r="W3" t="s">
        <v>21</v>
      </c>
      <c r="X3" t="s">
        <v>106</v>
      </c>
      <c r="Y3" t="s">
        <v>22</v>
      </c>
      <c r="AA3" t="s">
        <v>23</v>
      </c>
      <c r="AN3" t="s">
        <v>44</v>
      </c>
      <c r="AP3" s="16" t="s">
        <v>251</v>
      </c>
      <c r="AQ3" s="16"/>
      <c r="AR3" s="16"/>
      <c r="AS3" s="16"/>
      <c r="AT3" s="16"/>
      <c r="AV3" s="71" t="s">
        <v>253</v>
      </c>
      <c r="AW3" s="71"/>
      <c r="AX3" s="71"/>
      <c r="AY3" s="71"/>
      <c r="AZ3" s="71"/>
      <c r="BB3" s="72" t="s">
        <v>254</v>
      </c>
      <c r="BC3" s="72"/>
      <c r="BD3" s="72"/>
      <c r="BE3" s="72"/>
      <c r="BF3" s="72"/>
      <c r="BI3" s="17" t="s">
        <v>252</v>
      </c>
      <c r="BJ3" s="17"/>
      <c r="BK3" s="17"/>
      <c r="BL3" s="17"/>
      <c r="BM3" s="17"/>
      <c r="BX3" s="18" t="s">
        <v>45</v>
      </c>
      <c r="BY3" s="18"/>
      <c r="BZ3" s="18"/>
      <c r="CA3" s="18"/>
      <c r="CB3" s="18"/>
      <c r="CE3" s="29" t="s">
        <v>91</v>
      </c>
      <c r="CF3" s="29"/>
      <c r="CG3" s="29"/>
      <c r="CH3" s="29"/>
      <c r="CI3" s="29"/>
      <c r="CJ3" s="29"/>
    </row>
    <row r="4" spans="2:89" ht="18">
      <c r="B4" t="s">
        <v>67</v>
      </c>
      <c r="C4">
        <f>C3</f>
        <v>9.5525913320967106</v>
      </c>
      <c r="E4" t="s">
        <v>15</v>
      </c>
      <c r="U4" t="s">
        <v>248</v>
      </c>
      <c r="W4" s="23">
        <f>'Streamlined Dashboard'!N6</f>
        <v>0</v>
      </c>
      <c r="Y4" s="23">
        <f>'Streamlined Dashboard'!P6</f>
        <v>0</v>
      </c>
      <c r="AA4" s="23">
        <f>'Streamlined Dashboard'!R6</f>
        <v>0</v>
      </c>
    </row>
    <row r="5" spans="2:89">
      <c r="B5" t="s">
        <v>58</v>
      </c>
      <c r="C5">
        <v>0.3</v>
      </c>
      <c r="U5" t="s">
        <v>243</v>
      </c>
      <c r="W5" s="5">
        <f>'Streamlined Dashboard'!N7</f>
        <v>0</v>
      </c>
      <c r="Y5" s="5">
        <f>'Streamlined Dashboard'!P7</f>
        <v>0</v>
      </c>
      <c r="AA5" s="5">
        <f>'Streamlined Dashboard'!R7</f>
        <v>0</v>
      </c>
      <c r="AP5" t="s">
        <v>21</v>
      </c>
      <c r="AR5" t="s">
        <v>22</v>
      </c>
      <c r="AT5" t="s">
        <v>23</v>
      </c>
      <c r="AV5" t="s">
        <v>21</v>
      </c>
      <c r="AX5" t="s">
        <v>22</v>
      </c>
      <c r="AZ5" t="s">
        <v>23</v>
      </c>
      <c r="BB5" t="s">
        <v>21</v>
      </c>
      <c r="BD5" t="s">
        <v>22</v>
      </c>
      <c r="BF5" t="s">
        <v>23</v>
      </c>
      <c r="BI5" t="s">
        <v>21</v>
      </c>
      <c r="BK5" t="s">
        <v>22</v>
      </c>
      <c r="BM5" t="s">
        <v>23</v>
      </c>
      <c r="BX5" t="s">
        <v>21</v>
      </c>
      <c r="BZ5" t="s">
        <v>22</v>
      </c>
      <c r="CB5" t="s">
        <v>23</v>
      </c>
      <c r="CE5" t="s">
        <v>92</v>
      </c>
      <c r="CG5" t="s">
        <v>21</v>
      </c>
      <c r="CI5" t="s">
        <v>22</v>
      </c>
      <c r="CK5" t="s">
        <v>23</v>
      </c>
    </row>
    <row r="6" spans="2:89">
      <c r="B6" t="s">
        <v>2</v>
      </c>
      <c r="C6">
        <v>0.18</v>
      </c>
      <c r="U6" t="s">
        <v>16</v>
      </c>
      <c r="W6" s="5">
        <f>'Streamlined Dashboard'!N8</f>
        <v>0</v>
      </c>
      <c r="Y6" s="5">
        <f>'Streamlined Dashboard'!P8</f>
        <v>0</v>
      </c>
      <c r="AA6" s="5">
        <f>'Streamlined Dashboard'!R8</f>
        <v>0</v>
      </c>
    </row>
    <row r="7" spans="2:89">
      <c r="B7" t="s">
        <v>3</v>
      </c>
      <c r="C7">
        <v>24.5</v>
      </c>
      <c r="U7" t="s">
        <v>245</v>
      </c>
      <c r="AN7" s="14">
        <f t="shared" ref="AN7:AN16" si="0">AN8+AN$30</f>
        <v>4.9999999999999996E-2</v>
      </c>
      <c r="AP7" s="13">
        <f t="shared" ref="AP7:AP16" si="1">$C$34+$F$71+($AN7*$J$98-W$4-$J$106*W$19-$H$46*W$24)/$J$101</f>
        <v>1.3148325358851676E-2</v>
      </c>
      <c r="AR7" s="13">
        <f t="shared" ref="AR7:AR16" si="2">$C$34+$F$71+($AN7*$J$98-Y$4-$J$106*Y$19-$H$46*Y$24)/$J$101</f>
        <v>1.3148325358851676E-2</v>
      </c>
      <c r="AT7" s="13">
        <f t="shared" ref="AT7:AT16" si="3">$C$34+$F$71+($AN7*$J$98-AA$4-$J$106*AA$19-$H$46*AA$24)/$J$101</f>
        <v>1.3148325358851676E-2</v>
      </c>
      <c r="AV7" s="1">
        <f t="shared" ref="AV7:AV16" si="4">$F$71+$I$71*$AN7+$K$71*(BB7-$C$34)+W$19</f>
        <v>7.000000000000001E-3</v>
      </c>
      <c r="AX7" s="1">
        <f t="shared" ref="AX7:AX16" si="5">$F$71+$I$71*$AN7+$K$71*(BD7-$C$34)+Y$19</f>
        <v>7.000000000000001E-3</v>
      </c>
      <c r="AZ7" s="1">
        <f t="shared" ref="AZ7:AZ16" si="6">$F$71+$I$71*$AN7+$K$71*(BF7-$C$34)+AA$19</f>
        <v>7.000000000000001E-3</v>
      </c>
      <c r="BB7" s="1">
        <f t="shared" ref="BB7:BB16" si="7">$C$34+$F$64*W$13+$I$64*$AN7-$K$64*W$12+$H$66*W$19+W$16</f>
        <v>6.5000000000000002E-2</v>
      </c>
      <c r="BD7" s="1">
        <f t="shared" ref="BD7:BD16" si="8">$C$34+$F$64*Y$13+$I$64*$AN7-$K$64*Y$12+$H$66*Y$19+Y$16</f>
        <v>6.5000000000000002E-2</v>
      </c>
      <c r="BF7" s="1">
        <f t="shared" ref="BF7:BF16" si="9">$C$34+$F$64*AA$13+$I$64*$AN7-$K$64*AA$12+$H$66*AA$19+AA$16</f>
        <v>6.5000000000000002E-2</v>
      </c>
      <c r="BI7" s="14">
        <f t="shared" ref="BI7:BM16" si="10">BB7+AV7</f>
        <v>7.2000000000000008E-2</v>
      </c>
      <c r="BK7" s="14">
        <f t="shared" si="10"/>
        <v>7.2000000000000008E-2</v>
      </c>
      <c r="BM7" s="14">
        <f t="shared" si="10"/>
        <v>7.2000000000000008E-2</v>
      </c>
      <c r="BX7" s="14">
        <f t="shared" ref="BX7:BX27" si="11">$C$31+W$13+(1/$F$58)*($AN7-W$12)+$I$58*W$19</f>
        <v>5.5E-2</v>
      </c>
      <c r="BZ7" s="14">
        <f t="shared" ref="BZ7:BZ27" si="12">$C$31+Y$13+(1/$F$58)*($AN7-Y$12)+$I$58*Y$19</f>
        <v>5.5E-2</v>
      </c>
      <c r="CB7" s="14">
        <f t="shared" ref="CB7:CB27" si="13">$C$31+AA$13+(1/$F$58)*($AN7-AA$12)+$I$58*AA$19</f>
        <v>5.5E-2</v>
      </c>
      <c r="CE7" s="22">
        <f t="shared" ref="CE7:CE16" si="14">CE8*(1+$CE$30)</f>
        <v>105.11401320407893</v>
      </c>
      <c r="CG7" s="14">
        <f t="shared" ref="CG7:CG27" si="15">$C$21-$C$22+($F$26-$I$32)*($CE7/$CE$17-1)+($F$26*(1-$I$26)+$I$32*$I$26)*W$24-$F$32*W$67</f>
        <v>5.914179013873691E-2</v>
      </c>
      <c r="CI7" s="14">
        <f t="shared" ref="CI7:CI27" si="16">$C$21-$C$22+($F$26-$I$32)*($CE7/$CE$17-1)+($F$26*(1-$I$26)+$I$32*$I$26)*Y$24-$F$32*Y$67</f>
        <v>5.914179013873691E-2</v>
      </c>
      <c r="CK7" s="14">
        <f t="shared" ref="CK7:CK27" si="17">$C$21-$C$22+($F$26-$I$32)*($CE7/$CE$17-1)+($F$26*(1-$I$26)+$I$32*$I$26)*AA$24-$F$32*AA$67</f>
        <v>5.914179013873691E-2</v>
      </c>
    </row>
    <row r="8" spans="2:89" ht="18">
      <c r="B8" t="s">
        <v>65</v>
      </c>
      <c r="C8" s="22">
        <f>C7/1.2</f>
        <v>20.416666666666668</v>
      </c>
      <c r="G8" s="2">
        <f>(1-C18-C6)*0+C17</f>
        <v>0.65</v>
      </c>
      <c r="I8" s="2">
        <f>0.3+0.3</f>
        <v>0.6</v>
      </c>
      <c r="K8" s="2">
        <f>0.1*0+C6+0.1</f>
        <v>0.28000000000000003</v>
      </c>
      <c r="N8" s="153">
        <f>(1-K8)*I8</f>
        <v>0.432</v>
      </c>
      <c r="P8" s="2">
        <v>-0.4</v>
      </c>
      <c r="U8" t="s">
        <v>246</v>
      </c>
      <c r="W8" s="5">
        <f>'Streamlined Dashboard'!N10</f>
        <v>0</v>
      </c>
      <c r="Y8" s="5">
        <f>'Streamlined Dashboard'!P10</f>
        <v>0</v>
      </c>
      <c r="AA8" s="5">
        <f>'Streamlined Dashboard'!R10</f>
        <v>0</v>
      </c>
      <c r="AN8" s="14">
        <f t="shared" si="0"/>
        <v>4.4999999999999998E-2</v>
      </c>
      <c r="AP8" s="13">
        <f t="shared" si="1"/>
        <v>1.4833492822966506E-2</v>
      </c>
      <c r="AR8" s="13">
        <f t="shared" si="2"/>
        <v>1.4833492822966506E-2</v>
      </c>
      <c r="AT8" s="13">
        <f t="shared" si="3"/>
        <v>1.4833492822966506E-2</v>
      </c>
      <c r="AV8" s="1">
        <f t="shared" si="4"/>
        <v>7.3000000000000009E-3</v>
      </c>
      <c r="AX8" s="1">
        <f t="shared" si="5"/>
        <v>7.3000000000000009E-3</v>
      </c>
      <c r="AZ8" s="1">
        <f t="shared" si="6"/>
        <v>7.3000000000000009E-3</v>
      </c>
      <c r="BB8" s="1">
        <f t="shared" si="7"/>
        <v>6.0499999999999998E-2</v>
      </c>
      <c r="BD8" s="1">
        <f t="shared" si="8"/>
        <v>6.0499999999999998E-2</v>
      </c>
      <c r="BF8" s="1">
        <f t="shared" si="9"/>
        <v>6.0499999999999998E-2</v>
      </c>
      <c r="BI8" s="14">
        <f t="shared" si="10"/>
        <v>6.7799999999999999E-2</v>
      </c>
      <c r="BK8" s="14">
        <f t="shared" si="10"/>
        <v>6.7799999999999999E-2</v>
      </c>
      <c r="BM8" s="14">
        <f t="shared" si="10"/>
        <v>6.7799999999999999E-2</v>
      </c>
      <c r="BX8" s="14">
        <f t="shared" si="11"/>
        <v>5.3999999999999999E-2</v>
      </c>
      <c r="BZ8" s="14">
        <f t="shared" si="12"/>
        <v>5.3999999999999999E-2</v>
      </c>
      <c r="CB8" s="14">
        <f t="shared" si="13"/>
        <v>5.3999999999999999E-2</v>
      </c>
      <c r="CE8" s="22">
        <f t="shared" si="14"/>
        <v>104.59105791450641</v>
      </c>
      <c r="CG8" s="14">
        <f t="shared" si="15"/>
        <v>5.1611233968892403E-2</v>
      </c>
      <c r="CI8" s="14">
        <f t="shared" si="16"/>
        <v>5.1611233968892403E-2</v>
      </c>
      <c r="CK8" s="14">
        <f t="shared" si="17"/>
        <v>5.1611233968892403E-2</v>
      </c>
    </row>
    <row r="9" spans="2:89" ht="18">
      <c r="B9" t="s">
        <v>66</v>
      </c>
      <c r="C9" s="22">
        <f>C7-C8</f>
        <v>4.0833333333333321</v>
      </c>
      <c r="U9" t="s">
        <v>247</v>
      </c>
      <c r="W9" s="5">
        <f>'Streamlined Dashboard'!N11</f>
        <v>0</v>
      </c>
      <c r="Y9" s="5">
        <f>'Streamlined Dashboard'!P11</f>
        <v>0</v>
      </c>
      <c r="AA9" s="5">
        <f>'Streamlined Dashboard'!R11</f>
        <v>0</v>
      </c>
      <c r="AN9" s="14">
        <f t="shared" si="0"/>
        <v>0.04</v>
      </c>
      <c r="AP9" s="13">
        <f t="shared" si="1"/>
        <v>1.6518660287081339E-2</v>
      </c>
      <c r="AR9" s="13">
        <f t="shared" si="2"/>
        <v>1.6518660287081339E-2</v>
      </c>
      <c r="AT9" s="13">
        <f t="shared" si="3"/>
        <v>1.6518660287081339E-2</v>
      </c>
      <c r="AV9" s="1">
        <f t="shared" si="4"/>
        <v>7.6000000000000009E-3</v>
      </c>
      <c r="AX9" s="1">
        <f t="shared" si="5"/>
        <v>7.6000000000000009E-3</v>
      </c>
      <c r="AZ9" s="1">
        <f t="shared" si="6"/>
        <v>7.6000000000000009E-3</v>
      </c>
      <c r="BB9" s="1">
        <f t="shared" si="7"/>
        <v>5.6000000000000008E-2</v>
      </c>
      <c r="BD9" s="1">
        <f t="shared" si="8"/>
        <v>5.6000000000000008E-2</v>
      </c>
      <c r="BF9" s="1">
        <f t="shared" si="9"/>
        <v>5.6000000000000008E-2</v>
      </c>
      <c r="BI9" s="14">
        <f t="shared" si="10"/>
        <v>6.3600000000000004E-2</v>
      </c>
      <c r="BK9" s="14">
        <f t="shared" si="10"/>
        <v>6.3600000000000004E-2</v>
      </c>
      <c r="BM9" s="14">
        <f t="shared" si="10"/>
        <v>6.3600000000000004E-2</v>
      </c>
      <c r="BX9" s="14">
        <f t="shared" si="11"/>
        <v>5.2999999999999999E-2</v>
      </c>
      <c r="BZ9" s="14">
        <f t="shared" si="12"/>
        <v>5.2999999999999999E-2</v>
      </c>
      <c r="CB9" s="14">
        <f t="shared" si="13"/>
        <v>5.2999999999999999E-2</v>
      </c>
      <c r="CE9" s="22">
        <f t="shared" si="14"/>
        <v>104.0707043925437</v>
      </c>
      <c r="CG9" s="14">
        <f t="shared" si="15"/>
        <v>4.4118143252629652E-2</v>
      </c>
      <c r="CI9" s="14">
        <f t="shared" si="16"/>
        <v>4.4118143252629652E-2</v>
      </c>
      <c r="CK9" s="14">
        <f t="shared" si="17"/>
        <v>4.4118143252629652E-2</v>
      </c>
    </row>
    <row r="10" spans="2:89">
      <c r="B10" t="s">
        <v>4</v>
      </c>
      <c r="C10">
        <v>0.06</v>
      </c>
      <c r="E10" t="s">
        <v>16</v>
      </c>
      <c r="AN10" s="14">
        <f t="shared" si="0"/>
        <v>3.5000000000000003E-2</v>
      </c>
      <c r="AP10" s="13">
        <f t="shared" si="1"/>
        <v>1.820382775119617E-2</v>
      </c>
      <c r="AR10" s="13">
        <f t="shared" si="2"/>
        <v>1.820382775119617E-2</v>
      </c>
      <c r="AT10" s="13">
        <f t="shared" si="3"/>
        <v>1.820382775119617E-2</v>
      </c>
      <c r="AV10" s="1">
        <f t="shared" si="4"/>
        <v>7.9000000000000008E-3</v>
      </c>
      <c r="AX10" s="1">
        <f t="shared" si="5"/>
        <v>7.9000000000000008E-3</v>
      </c>
      <c r="AZ10" s="1">
        <f t="shared" si="6"/>
        <v>7.9000000000000008E-3</v>
      </c>
      <c r="BB10" s="1">
        <f t="shared" si="7"/>
        <v>5.1500000000000004E-2</v>
      </c>
      <c r="BD10" s="1">
        <f t="shared" si="8"/>
        <v>5.1500000000000004E-2</v>
      </c>
      <c r="BF10" s="1">
        <f t="shared" si="9"/>
        <v>5.1500000000000004E-2</v>
      </c>
      <c r="BI10" s="14">
        <f t="shared" si="10"/>
        <v>5.9400000000000008E-2</v>
      </c>
      <c r="BK10" s="14">
        <f t="shared" si="10"/>
        <v>5.9400000000000008E-2</v>
      </c>
      <c r="BM10" s="14">
        <f t="shared" si="10"/>
        <v>5.9400000000000008E-2</v>
      </c>
      <c r="BX10" s="14">
        <f t="shared" si="11"/>
        <v>5.1999999999999998E-2</v>
      </c>
      <c r="BZ10" s="14">
        <f t="shared" si="12"/>
        <v>5.1999999999999998E-2</v>
      </c>
      <c r="CB10" s="14">
        <f t="shared" si="13"/>
        <v>5.1999999999999998E-2</v>
      </c>
      <c r="CE10" s="22">
        <f t="shared" si="14"/>
        <v>103.55293969407334</v>
      </c>
      <c r="CG10" s="14">
        <f t="shared" si="15"/>
        <v>3.6662331594656504E-2</v>
      </c>
      <c r="CI10" s="14">
        <f t="shared" si="16"/>
        <v>3.6662331594656504E-2</v>
      </c>
      <c r="CK10" s="14">
        <f t="shared" si="17"/>
        <v>3.6662331594656504E-2</v>
      </c>
    </row>
    <row r="11" spans="2:89" ht="15.75" thickBot="1">
      <c r="B11" t="s">
        <v>5</v>
      </c>
      <c r="C11">
        <v>0.3</v>
      </c>
      <c r="W11" t="s">
        <v>25</v>
      </c>
      <c r="Y11" t="s">
        <v>25</v>
      </c>
      <c r="AA11" t="s">
        <v>25</v>
      </c>
      <c r="AN11" s="14">
        <f t="shared" si="0"/>
        <v>3.0000000000000002E-2</v>
      </c>
      <c r="AP11" s="13">
        <f t="shared" si="1"/>
        <v>1.9888995215311005E-2</v>
      </c>
      <c r="AR11" s="13">
        <f t="shared" si="2"/>
        <v>1.9888995215311005E-2</v>
      </c>
      <c r="AT11" s="13">
        <f t="shared" si="3"/>
        <v>1.9888995215311005E-2</v>
      </c>
      <c r="AV11" s="1">
        <f t="shared" si="4"/>
        <v>8.2000000000000007E-3</v>
      </c>
      <c r="AX11" s="1">
        <f t="shared" si="5"/>
        <v>8.2000000000000007E-3</v>
      </c>
      <c r="AZ11" s="1">
        <f t="shared" si="6"/>
        <v>8.2000000000000007E-3</v>
      </c>
      <c r="BB11" s="1">
        <f t="shared" si="7"/>
        <v>4.7E-2</v>
      </c>
      <c r="BD11" s="1">
        <f t="shared" si="8"/>
        <v>4.7E-2</v>
      </c>
      <c r="BF11" s="1">
        <f t="shared" si="9"/>
        <v>4.7E-2</v>
      </c>
      <c r="BI11" s="14">
        <f t="shared" si="10"/>
        <v>5.5199999999999999E-2</v>
      </c>
      <c r="BK11" s="14">
        <f t="shared" si="10"/>
        <v>5.5199999999999999E-2</v>
      </c>
      <c r="BM11" s="14">
        <f t="shared" si="10"/>
        <v>5.5199999999999999E-2</v>
      </c>
      <c r="BX11" s="14">
        <f t="shared" si="11"/>
        <v>5.0999999999999997E-2</v>
      </c>
      <c r="BZ11" s="14">
        <f t="shared" si="12"/>
        <v>5.0999999999999997E-2</v>
      </c>
      <c r="CB11" s="14">
        <f t="shared" si="13"/>
        <v>5.0999999999999997E-2</v>
      </c>
      <c r="CE11" s="22">
        <f t="shared" si="14"/>
        <v>103.03775093937648</v>
      </c>
      <c r="CG11" s="14">
        <f t="shared" si="15"/>
        <v>2.9243613527021553E-2</v>
      </c>
      <c r="CI11" s="14">
        <f t="shared" si="16"/>
        <v>2.9243613527021553E-2</v>
      </c>
      <c r="CK11" s="14">
        <f t="shared" si="17"/>
        <v>2.9243613527021553E-2</v>
      </c>
    </row>
    <row r="12" spans="2:89" ht="18" thickTop="1">
      <c r="B12" t="s">
        <v>6</v>
      </c>
      <c r="C12" s="7">
        <f>((C34+C10)/(C11*(1-C6)*(($C$4*$C$9^(1-$C$11)+$C$39*$C$3*$C$8^(1-$C$11)))))^(1/(C5-1))</f>
        <v>3812.9999980140888</v>
      </c>
      <c r="M12" s="158"/>
      <c r="N12" s="159"/>
      <c r="O12" s="159"/>
      <c r="P12" s="159"/>
      <c r="Q12" s="159"/>
      <c r="R12" s="159"/>
      <c r="S12" s="160"/>
      <c r="U12" t="s">
        <v>26</v>
      </c>
      <c r="W12" s="5">
        <f>'Streamlined Dashboard'!N15</f>
        <v>0</v>
      </c>
      <c r="Y12" s="5">
        <f>'Streamlined Dashboard'!P15</f>
        <v>0</v>
      </c>
      <c r="AA12" s="5">
        <f>'Streamlined Dashboard'!R15</f>
        <v>0</v>
      </c>
      <c r="AN12" s="14">
        <f t="shared" si="0"/>
        <v>2.5000000000000001E-2</v>
      </c>
      <c r="AP12" s="13">
        <f t="shared" si="1"/>
        <v>2.1574162679425836E-2</v>
      </c>
      <c r="AR12" s="13">
        <f t="shared" si="2"/>
        <v>2.1574162679425836E-2</v>
      </c>
      <c r="AT12" s="13">
        <f t="shared" si="3"/>
        <v>2.1574162679425836E-2</v>
      </c>
      <c r="AV12" s="1">
        <f t="shared" si="4"/>
        <v>8.5000000000000006E-3</v>
      </c>
      <c r="AX12" s="1">
        <f t="shared" si="5"/>
        <v>8.5000000000000006E-3</v>
      </c>
      <c r="AZ12" s="1">
        <f t="shared" si="6"/>
        <v>8.5000000000000006E-3</v>
      </c>
      <c r="BB12" s="1">
        <f t="shared" si="7"/>
        <v>4.2500000000000003E-2</v>
      </c>
      <c r="BD12" s="1">
        <f t="shared" si="8"/>
        <v>4.2500000000000003E-2</v>
      </c>
      <c r="BF12" s="1">
        <f t="shared" si="9"/>
        <v>4.2500000000000003E-2</v>
      </c>
      <c r="BI12" s="14">
        <f t="shared" si="10"/>
        <v>5.1000000000000004E-2</v>
      </c>
      <c r="BK12" s="14">
        <f t="shared" si="10"/>
        <v>5.1000000000000004E-2</v>
      </c>
      <c r="BM12" s="14">
        <f t="shared" si="10"/>
        <v>5.1000000000000004E-2</v>
      </c>
      <c r="BX12" s="14">
        <f t="shared" si="11"/>
        <v>0.05</v>
      </c>
      <c r="BZ12" s="14">
        <f t="shared" si="12"/>
        <v>0.05</v>
      </c>
      <c r="CB12" s="14">
        <f t="shared" si="13"/>
        <v>0.05</v>
      </c>
      <c r="CE12" s="22">
        <f t="shared" si="14"/>
        <v>102.52512531281243</v>
      </c>
      <c r="CG12" s="14">
        <f t="shared" si="15"/>
        <v>2.1861804504499309E-2</v>
      </c>
      <c r="CI12" s="14">
        <f t="shared" si="16"/>
        <v>2.1861804504499309E-2</v>
      </c>
      <c r="CK12" s="14">
        <f t="shared" si="17"/>
        <v>2.1861804504499309E-2</v>
      </c>
    </row>
    <row r="13" spans="2:89">
      <c r="B13" t="s">
        <v>7</v>
      </c>
      <c r="C13" s="7">
        <f>((C34+C10)/(C11*(1-C6)*(($C$4*$C$9^(1-$C$11)+$C$39*$C$3*$C$8^(1-$C$11)))))^(C5/(C5-1))*($C$3*$C$8^(1-$C$11)+$C$39*$C$4*$C$9^(1-$C$11))</f>
        <v>1239.9999993541767</v>
      </c>
      <c r="M13" s="161"/>
      <c r="N13" s="162"/>
      <c r="O13" s="162"/>
      <c r="P13" s="162"/>
      <c r="Q13" s="162"/>
      <c r="R13" s="162"/>
      <c r="S13" s="163"/>
      <c r="U13" t="s">
        <v>28</v>
      </c>
      <c r="W13" s="5">
        <f>'Streamlined Dashboard'!N16</f>
        <v>0</v>
      </c>
      <c r="Y13" s="5">
        <f>'Streamlined Dashboard'!P16</f>
        <v>0</v>
      </c>
      <c r="AA13" s="5">
        <f>'Streamlined Dashboard'!R16</f>
        <v>0</v>
      </c>
      <c r="AN13" s="14">
        <f t="shared" si="0"/>
        <v>0.02</v>
      </c>
      <c r="AP13" s="13">
        <f t="shared" si="1"/>
        <v>2.3259330143540667E-2</v>
      </c>
      <c r="AR13" s="13">
        <f t="shared" si="2"/>
        <v>2.3259330143540667E-2</v>
      </c>
      <c r="AT13" s="13">
        <f t="shared" si="3"/>
        <v>2.3259330143540667E-2</v>
      </c>
      <c r="AV13" s="1">
        <f t="shared" si="4"/>
        <v>8.8000000000000005E-3</v>
      </c>
      <c r="AX13" s="1">
        <f t="shared" si="5"/>
        <v>8.8000000000000005E-3</v>
      </c>
      <c r="AZ13" s="1">
        <f t="shared" si="6"/>
        <v>8.8000000000000005E-3</v>
      </c>
      <c r="BB13" s="1">
        <f t="shared" si="7"/>
        <v>3.8000000000000006E-2</v>
      </c>
      <c r="BD13" s="1">
        <f t="shared" si="8"/>
        <v>3.8000000000000006E-2</v>
      </c>
      <c r="BF13" s="1">
        <f t="shared" si="9"/>
        <v>3.8000000000000006E-2</v>
      </c>
      <c r="BI13" s="14">
        <f t="shared" si="10"/>
        <v>4.6800000000000008E-2</v>
      </c>
      <c r="BK13" s="14">
        <f t="shared" si="10"/>
        <v>4.6800000000000008E-2</v>
      </c>
      <c r="BM13" s="14">
        <f t="shared" si="10"/>
        <v>4.6800000000000008E-2</v>
      </c>
      <c r="BX13" s="14">
        <f t="shared" si="11"/>
        <v>4.9000000000000002E-2</v>
      </c>
      <c r="BZ13" s="14">
        <f t="shared" si="12"/>
        <v>4.9000000000000002E-2</v>
      </c>
      <c r="CB13" s="14">
        <f t="shared" si="13"/>
        <v>4.9000000000000002E-2</v>
      </c>
      <c r="CE13" s="22">
        <f t="shared" si="14"/>
        <v>102.01505006249995</v>
      </c>
      <c r="CG13" s="14">
        <f t="shared" si="15"/>
        <v>1.4516720899999586E-2</v>
      </c>
      <c r="CI13" s="14">
        <f t="shared" si="16"/>
        <v>1.4516720899999586E-2</v>
      </c>
      <c r="CK13" s="14">
        <f t="shared" si="17"/>
        <v>1.4516720899999586E-2</v>
      </c>
    </row>
    <row r="14" spans="2:89">
      <c r="B14" t="s">
        <v>9</v>
      </c>
      <c r="C14" s="7">
        <f>C12*C10</f>
        <v>228.77999988084531</v>
      </c>
      <c r="F14" s="2">
        <f>C18</f>
        <v>0.18449999999999978</v>
      </c>
      <c r="I14" s="3">
        <f>0.1+0.2+0.1</f>
        <v>0.4</v>
      </c>
      <c r="K14" s="3">
        <f>-0.8-0.2+0.2+0.2+0.2+0.15</f>
        <v>-0.25000000000000011</v>
      </c>
      <c r="M14" s="161"/>
      <c r="N14" s="2">
        <f>N8+I14</f>
        <v>0.83200000000000007</v>
      </c>
      <c r="O14" s="162" t="s">
        <v>391</v>
      </c>
      <c r="P14" s="162"/>
      <c r="Q14" s="162"/>
      <c r="R14" s="162"/>
      <c r="S14" s="163"/>
      <c r="AN14" s="14">
        <f t="shared" si="0"/>
        <v>1.4999999999999999E-2</v>
      </c>
      <c r="AP14" s="13">
        <f t="shared" si="1"/>
        <v>2.4944497607655502E-2</v>
      </c>
      <c r="AR14" s="13">
        <f t="shared" si="2"/>
        <v>2.4944497607655502E-2</v>
      </c>
      <c r="AT14" s="13">
        <f t="shared" si="3"/>
        <v>2.4944497607655502E-2</v>
      </c>
      <c r="AV14" s="1">
        <f t="shared" si="4"/>
        <v>9.1000000000000004E-3</v>
      </c>
      <c r="AX14" s="1">
        <f t="shared" si="5"/>
        <v>9.1000000000000004E-3</v>
      </c>
      <c r="AZ14" s="1">
        <f t="shared" si="6"/>
        <v>9.1000000000000004E-3</v>
      </c>
      <c r="BB14" s="1">
        <f t="shared" si="7"/>
        <v>3.3500000000000002E-2</v>
      </c>
      <c r="BD14" s="1">
        <f t="shared" si="8"/>
        <v>3.3500000000000002E-2</v>
      </c>
      <c r="BF14" s="1">
        <f t="shared" si="9"/>
        <v>3.3500000000000002E-2</v>
      </c>
      <c r="BI14" s="14">
        <f t="shared" si="10"/>
        <v>4.2599999999999999E-2</v>
      </c>
      <c r="BK14" s="14">
        <f t="shared" si="10"/>
        <v>4.2599999999999999E-2</v>
      </c>
      <c r="BM14" s="14">
        <f t="shared" si="10"/>
        <v>4.2599999999999999E-2</v>
      </c>
      <c r="BX14" s="14">
        <f t="shared" si="11"/>
        <v>4.8000000000000001E-2</v>
      </c>
      <c r="BZ14" s="14">
        <f t="shared" si="12"/>
        <v>4.8000000000000001E-2</v>
      </c>
      <c r="CB14" s="14">
        <f t="shared" si="13"/>
        <v>4.8000000000000001E-2</v>
      </c>
      <c r="CE14" s="22">
        <f t="shared" si="14"/>
        <v>101.50751249999996</v>
      </c>
      <c r="CG14" s="14">
        <f t="shared" si="15"/>
        <v>7.2081799999996823E-3</v>
      </c>
      <c r="CI14" s="14">
        <f t="shared" si="16"/>
        <v>7.2081799999996823E-3</v>
      </c>
      <c r="CK14" s="14">
        <f t="shared" si="17"/>
        <v>7.2081799999996823E-3</v>
      </c>
    </row>
    <row r="15" spans="2:89" ht="15.75" thickBot="1">
      <c r="B15" t="s">
        <v>10</v>
      </c>
      <c r="M15" s="164"/>
      <c r="N15" s="165"/>
      <c r="O15" s="165"/>
      <c r="P15" s="165"/>
      <c r="Q15" s="165"/>
      <c r="R15" s="165"/>
      <c r="S15" s="166"/>
      <c r="W15" t="s">
        <v>29</v>
      </c>
      <c r="Y15" t="s">
        <v>29</v>
      </c>
      <c r="AA15" t="s">
        <v>29</v>
      </c>
      <c r="AN15" s="14">
        <f t="shared" si="0"/>
        <v>0.01</v>
      </c>
      <c r="AP15" s="13">
        <f t="shared" si="1"/>
        <v>2.6629665071770333E-2</v>
      </c>
      <c r="AR15" s="13">
        <f t="shared" si="2"/>
        <v>2.6629665071770333E-2</v>
      </c>
      <c r="AT15" s="13">
        <f t="shared" si="3"/>
        <v>2.6629665071770333E-2</v>
      </c>
      <c r="AV15" s="1">
        <f t="shared" si="4"/>
        <v>9.4000000000000004E-3</v>
      </c>
      <c r="AX15" s="1">
        <f t="shared" si="5"/>
        <v>9.4000000000000004E-3</v>
      </c>
      <c r="AZ15" s="1">
        <f t="shared" si="6"/>
        <v>9.4000000000000004E-3</v>
      </c>
      <c r="BB15" s="1">
        <f t="shared" si="7"/>
        <v>2.9000000000000001E-2</v>
      </c>
      <c r="BD15" s="1">
        <f t="shared" si="8"/>
        <v>2.9000000000000001E-2</v>
      </c>
      <c r="BF15" s="1">
        <f t="shared" si="9"/>
        <v>2.9000000000000001E-2</v>
      </c>
      <c r="BI15" s="14">
        <f t="shared" si="10"/>
        <v>3.8400000000000004E-2</v>
      </c>
      <c r="BK15" s="14">
        <f t="shared" si="10"/>
        <v>3.8400000000000004E-2</v>
      </c>
      <c r="BM15" s="14">
        <f t="shared" si="10"/>
        <v>3.8400000000000004E-2</v>
      </c>
      <c r="BX15" s="14">
        <f t="shared" si="11"/>
        <v>4.7E-2</v>
      </c>
      <c r="BZ15" s="14">
        <f t="shared" si="12"/>
        <v>4.7E-2</v>
      </c>
      <c r="CB15" s="14">
        <f t="shared" si="13"/>
        <v>4.7E-2</v>
      </c>
      <c r="CE15" s="22">
        <f t="shared" si="14"/>
        <v>101.00249999999997</v>
      </c>
      <c r="CG15" s="14">
        <f t="shared" si="15"/>
        <v>-6.4000000000181967E-5</v>
      </c>
      <c r="CI15" s="14">
        <f t="shared" si="16"/>
        <v>-6.4000000000181967E-5</v>
      </c>
      <c r="CK15" s="14">
        <f t="shared" si="17"/>
        <v>-6.4000000000181967E-5</v>
      </c>
    </row>
    <row r="16" spans="2:89" ht="15.75" thickTop="1">
      <c r="B16" t="s">
        <v>11</v>
      </c>
      <c r="C16" s="7">
        <v>3.0749999999999962</v>
      </c>
      <c r="E16" t="s">
        <v>17</v>
      </c>
      <c r="U16" t="s">
        <v>30</v>
      </c>
      <c r="W16" s="5">
        <f>'Streamlined Dashboard'!N19</f>
        <v>0</v>
      </c>
      <c r="Y16" s="5">
        <f>'Streamlined Dashboard'!P19</f>
        <v>0</v>
      </c>
      <c r="AA16" s="5">
        <f>'Streamlined Dashboard'!R19</f>
        <v>0</v>
      </c>
      <c r="AN16" s="14">
        <f t="shared" si="0"/>
        <v>5.0000000000000001E-3</v>
      </c>
      <c r="AP16" s="13">
        <f t="shared" si="1"/>
        <v>2.8314832535885168E-2</v>
      </c>
      <c r="AR16" s="13">
        <f t="shared" si="2"/>
        <v>2.8314832535885168E-2</v>
      </c>
      <c r="AT16" s="13">
        <f t="shared" si="3"/>
        <v>2.8314832535885168E-2</v>
      </c>
      <c r="AV16" s="1">
        <f t="shared" si="4"/>
        <v>9.7000000000000003E-3</v>
      </c>
      <c r="AX16" s="1">
        <f t="shared" si="5"/>
        <v>9.7000000000000003E-3</v>
      </c>
      <c r="AZ16" s="1">
        <f t="shared" si="6"/>
        <v>9.7000000000000003E-3</v>
      </c>
      <c r="BB16" s="1">
        <f t="shared" si="7"/>
        <v>2.4500000000000001E-2</v>
      </c>
      <c r="BD16" s="1">
        <f t="shared" si="8"/>
        <v>2.4500000000000001E-2</v>
      </c>
      <c r="BF16" s="1">
        <f t="shared" si="9"/>
        <v>2.4500000000000001E-2</v>
      </c>
      <c r="BI16" s="14">
        <f t="shared" si="10"/>
        <v>3.4200000000000001E-2</v>
      </c>
      <c r="BK16" s="14">
        <f t="shared" si="10"/>
        <v>3.4200000000000001E-2</v>
      </c>
      <c r="BM16" s="14">
        <f t="shared" si="10"/>
        <v>3.4200000000000001E-2</v>
      </c>
      <c r="BX16" s="14">
        <f t="shared" si="11"/>
        <v>4.5999999999999999E-2</v>
      </c>
      <c r="BZ16" s="14">
        <f t="shared" si="12"/>
        <v>4.5999999999999999E-2</v>
      </c>
      <c r="CB16" s="14">
        <f t="shared" si="13"/>
        <v>4.5999999999999999E-2</v>
      </c>
      <c r="CE16" s="22">
        <f t="shared" si="14"/>
        <v>100.49999999999999</v>
      </c>
      <c r="CG16" s="14">
        <f t="shared" si="15"/>
        <v>-7.2999999999999446E-3</v>
      </c>
      <c r="CI16" s="14">
        <f t="shared" si="16"/>
        <v>-7.2999999999999446E-3</v>
      </c>
      <c r="CK16" s="14">
        <f t="shared" si="17"/>
        <v>-7.2999999999999446E-3</v>
      </c>
    </row>
    <row r="17" spans="2:89">
      <c r="B17" t="s">
        <v>53</v>
      </c>
      <c r="C17" s="1">
        <v>0.65</v>
      </c>
      <c r="AN17" s="15">
        <v>0</v>
      </c>
      <c r="AP17" s="70">
        <f>$C$34+$F$71+($AN17*$J$98-W$4-$J$106*W$19-$H$46*W$24)/$J$101</f>
        <v>0.03</v>
      </c>
      <c r="AQ17" s="15"/>
      <c r="AR17" s="15">
        <f>$C$34+$F$71+($AN17*$J$98-Y$4-$J$106*Y$19-$H$46*Y$24)/$J$101</f>
        <v>0.03</v>
      </c>
      <c r="AS17" s="15"/>
      <c r="AT17" s="70">
        <f>$C$34+$F$71+($AN17*$J$98-AA$4-$J$106*AA$19-$H$46*AA$24)/$J$101</f>
        <v>0.03</v>
      </c>
      <c r="AU17" s="15"/>
      <c r="AV17" s="15">
        <f>$F$71+$I$71*$AN17+$K$71*(BB17-$C$34)+W$19</f>
        <v>0.01</v>
      </c>
      <c r="AX17" s="15">
        <f>$F$71+$I$71*$AN17+$K$71*(BD17-$C$34)+Y$19</f>
        <v>0.01</v>
      </c>
      <c r="AZ17" s="15">
        <f>$F$71+$I$71*$AN17+$K$71*(BF17-$C$34)+AA$19</f>
        <v>0.01</v>
      </c>
      <c r="BB17" s="15">
        <f>$C$34+$F$64*W$13+$I$64*$AN17-$K$64*W$12+$H$66*W$19+W$16</f>
        <v>0.02</v>
      </c>
      <c r="BD17" s="15">
        <f>$C$34+$F$64*Y$13+$I$64*$AN17-$K$64*Y$12+$H$66*Y$19+Y$16</f>
        <v>0.02</v>
      </c>
      <c r="BF17" s="15">
        <f>$C$34+$F$64*AA$13+$I$64*$AN17-$K$64*AA$12+$H$66*AA$19+AA$16</f>
        <v>0.02</v>
      </c>
      <c r="BI17" s="15">
        <f>BB17+AV17</f>
        <v>0.03</v>
      </c>
      <c r="BK17" s="15">
        <f>BD17+AX17</f>
        <v>0.03</v>
      </c>
      <c r="BM17" s="15">
        <f>BF17+AZ17</f>
        <v>0.03</v>
      </c>
      <c r="BN17" s="13"/>
      <c r="BX17" s="15">
        <f t="shared" si="11"/>
        <v>4.4999999999999998E-2</v>
      </c>
      <c r="BZ17" s="15">
        <f t="shared" si="12"/>
        <v>4.4999999999999998E-2</v>
      </c>
      <c r="CB17" s="15">
        <f t="shared" si="13"/>
        <v>4.4999999999999998E-2</v>
      </c>
      <c r="CE17" s="31">
        <f>C51</f>
        <v>100</v>
      </c>
      <c r="CG17" s="15">
        <f t="shared" si="15"/>
        <v>-1.4499999999999791E-2</v>
      </c>
      <c r="CI17" s="15">
        <f t="shared" si="16"/>
        <v>-1.4499999999999791E-2</v>
      </c>
      <c r="CK17" s="15">
        <f t="shared" si="17"/>
        <v>-1.4499999999999791E-2</v>
      </c>
    </row>
    <row r="18" spans="2:89">
      <c r="B18" t="s">
        <v>36</v>
      </c>
      <c r="C18" s="6">
        <f>C16*C10</f>
        <v>0.18449999999999978</v>
      </c>
      <c r="U18" t="s">
        <v>27</v>
      </c>
      <c r="W18" t="s">
        <v>74</v>
      </c>
      <c r="Y18" t="s">
        <v>74</v>
      </c>
      <c r="AA18" t="s">
        <v>74</v>
      </c>
      <c r="AN18" s="14">
        <f t="shared" ref="AN18:AN25" si="18">AN17-AN$30</f>
        <v>-5.0000000000000001E-3</v>
      </c>
      <c r="AP18" s="13">
        <f t="shared" ref="AP18:AP27" si="19">$C$34+$F$71+($AN18*$J$98-W$4-$J$106*W$19-$H$46*W$24)/$J$101</f>
        <v>3.168516746411483E-2</v>
      </c>
      <c r="AR18" s="13">
        <f t="shared" ref="AR18:AR27" si="20">$C$34+$F$71+($AN18*$J$98-Y$4-$J$106*Y$19-$H$46*Y$24)/$J$101</f>
        <v>3.168516746411483E-2</v>
      </c>
      <c r="AT18" s="13">
        <f t="shared" ref="AT18:AT27" si="21">$C$34+$F$71+($AN18*$J$98-AA$4-$J$106*AA$19-$H$46*AA$24)/$J$101</f>
        <v>3.168516746411483E-2</v>
      </c>
      <c r="AV18" s="1">
        <f t="shared" ref="AV18:AV27" si="22">$F$71+$I$71*$AN18+$K$71*(BB18-$C$34)+W$19</f>
        <v>1.03E-2</v>
      </c>
      <c r="AX18" s="1">
        <f t="shared" ref="AX18:AX27" si="23">$F$71+$I$71*$AN18+$K$71*(BD18-$C$34)+Y$19</f>
        <v>1.03E-2</v>
      </c>
      <c r="AZ18" s="1">
        <f t="shared" ref="AZ18:AZ27" si="24">$F$71+$I$71*$AN18+$K$71*(BF18-$C$34)+AA$19</f>
        <v>1.03E-2</v>
      </c>
      <c r="BB18" s="1">
        <f t="shared" ref="BB18:BB27" si="25">$C$34+$F$64*W$13+$I$64*$AN18-$K$64*W$12+$H$66*W$19+W$16</f>
        <v>1.55E-2</v>
      </c>
      <c r="BD18" s="1">
        <f t="shared" ref="BD18:BD27" si="26">$C$34+$F$64*Y$13+$I$64*$AN18-$K$64*Y$12+$H$66*Y$19+Y$16</f>
        <v>1.55E-2</v>
      </c>
      <c r="BF18" s="1">
        <f t="shared" ref="BF18:BF27" si="27">$C$34+$F$64*AA$13+$I$64*$AN18-$K$64*AA$12+$H$66*AA$19+AA$16</f>
        <v>1.55E-2</v>
      </c>
      <c r="BI18" s="14">
        <f t="shared" ref="BI18:BM27" si="28">BB18+AV18</f>
        <v>2.58E-2</v>
      </c>
      <c r="BK18" s="14">
        <f t="shared" si="28"/>
        <v>2.58E-2</v>
      </c>
      <c r="BM18" s="14">
        <f t="shared" si="28"/>
        <v>2.58E-2</v>
      </c>
      <c r="BX18" s="14">
        <f t="shared" si="11"/>
        <v>4.3999999999999997E-2</v>
      </c>
      <c r="BZ18" s="14">
        <f t="shared" si="12"/>
        <v>4.3999999999999997E-2</v>
      </c>
      <c r="CB18" s="14">
        <f t="shared" si="13"/>
        <v>4.3999999999999997E-2</v>
      </c>
      <c r="CE18" s="22">
        <f t="shared" ref="CE18:CE27" si="29">CE17*(1-$CE$30)</f>
        <v>99.5</v>
      </c>
      <c r="CG18" s="14">
        <f t="shared" si="15"/>
        <v>-2.1699999999999796E-2</v>
      </c>
      <c r="CI18" s="14">
        <f t="shared" si="16"/>
        <v>-2.1699999999999796E-2</v>
      </c>
      <c r="CK18" s="14">
        <f t="shared" si="17"/>
        <v>-2.1699999999999796E-2</v>
      </c>
    </row>
    <row r="19" spans="2:89">
      <c r="B19" t="s">
        <v>54</v>
      </c>
      <c r="C19" s="1">
        <f>C6</f>
        <v>0.18</v>
      </c>
      <c r="F19" s="2">
        <f>C19</f>
        <v>0.18</v>
      </c>
      <c r="I19" s="2">
        <f>-0.1</f>
        <v>-0.1</v>
      </c>
      <c r="U19" t="s">
        <v>75</v>
      </c>
      <c r="W19" s="23">
        <f>W20+W21-W22*$J$127</f>
        <v>0</v>
      </c>
      <c r="Y19" s="23">
        <f>Y20+Y21-Y22*$J$127</f>
        <v>0</v>
      </c>
      <c r="AA19" s="23">
        <f>AA20+AA21-AA22*$J$127</f>
        <v>0</v>
      </c>
      <c r="AN19" s="14">
        <f t="shared" si="18"/>
        <v>-0.01</v>
      </c>
      <c r="AP19" s="13">
        <f t="shared" si="19"/>
        <v>3.3370334928229661E-2</v>
      </c>
      <c r="AR19" s="13">
        <f t="shared" si="20"/>
        <v>3.3370334928229661E-2</v>
      </c>
      <c r="AT19" s="13">
        <f t="shared" si="21"/>
        <v>3.3370334928229661E-2</v>
      </c>
      <c r="AV19" s="1">
        <f t="shared" si="22"/>
        <v>1.06E-2</v>
      </c>
      <c r="AX19" s="1">
        <f t="shared" si="23"/>
        <v>1.06E-2</v>
      </c>
      <c r="AZ19" s="1">
        <f t="shared" si="24"/>
        <v>1.06E-2</v>
      </c>
      <c r="BB19" s="1">
        <f t="shared" si="25"/>
        <v>1.0999999999999999E-2</v>
      </c>
      <c r="BD19" s="1">
        <f t="shared" si="26"/>
        <v>1.0999999999999999E-2</v>
      </c>
      <c r="BF19" s="1">
        <f t="shared" si="27"/>
        <v>1.0999999999999999E-2</v>
      </c>
      <c r="BI19" s="14">
        <f t="shared" si="28"/>
        <v>2.1600000000000001E-2</v>
      </c>
      <c r="BK19" s="14">
        <f t="shared" si="28"/>
        <v>2.1600000000000001E-2</v>
      </c>
      <c r="BM19" s="14">
        <f t="shared" si="28"/>
        <v>2.1600000000000001E-2</v>
      </c>
      <c r="BX19" s="14">
        <f t="shared" si="11"/>
        <v>4.2999999999999997E-2</v>
      </c>
      <c r="BZ19" s="14">
        <f t="shared" si="12"/>
        <v>4.2999999999999997E-2</v>
      </c>
      <c r="CB19" s="14">
        <f t="shared" si="13"/>
        <v>4.2999999999999997E-2</v>
      </c>
      <c r="CE19" s="22">
        <f t="shared" si="29"/>
        <v>99.002499999999998</v>
      </c>
      <c r="CG19" s="14">
        <f t="shared" si="15"/>
        <v>-2.8863999999999886E-2</v>
      </c>
      <c r="CI19" s="14">
        <f t="shared" si="16"/>
        <v>-2.8863999999999886E-2</v>
      </c>
      <c r="CK19" s="14">
        <f t="shared" si="17"/>
        <v>-2.8863999999999886E-2</v>
      </c>
    </row>
    <row r="20" spans="2:89">
      <c r="B20" t="s">
        <v>55</v>
      </c>
      <c r="C20" s="1">
        <f>1-C17-C18-C19</f>
        <v>-1.4499999999999791E-2</v>
      </c>
      <c r="U20" t="s">
        <v>76</v>
      </c>
      <c r="W20" s="5">
        <f>'Streamlined Dashboard'!N23-IF(V158="YES",W155,0)</f>
        <v>0</v>
      </c>
      <c r="Y20" s="5">
        <f>'Streamlined Dashboard'!P23-IF(V158="YES",Y155,0)</f>
        <v>0</v>
      </c>
      <c r="AA20" s="5">
        <f>'Streamlined Dashboard'!R23-IF(V158="YES",AA155,0)</f>
        <v>0</v>
      </c>
      <c r="AN20" s="14">
        <f t="shared" si="18"/>
        <v>-1.4999999999999999E-2</v>
      </c>
      <c r="AP20" s="13">
        <f t="shared" si="19"/>
        <v>3.5055502392344493E-2</v>
      </c>
      <c r="AR20" s="13">
        <f t="shared" si="20"/>
        <v>3.5055502392344493E-2</v>
      </c>
      <c r="AT20" s="13">
        <f t="shared" si="21"/>
        <v>3.5055502392344493E-2</v>
      </c>
      <c r="AV20" s="1">
        <f t="shared" si="22"/>
        <v>1.09E-2</v>
      </c>
      <c r="AX20" s="1">
        <f t="shared" si="23"/>
        <v>1.09E-2</v>
      </c>
      <c r="AZ20" s="1">
        <f t="shared" si="24"/>
        <v>1.09E-2</v>
      </c>
      <c r="BB20" s="1">
        <f t="shared" si="25"/>
        <v>6.5000000000000006E-3</v>
      </c>
      <c r="BD20" s="1">
        <f t="shared" si="26"/>
        <v>6.5000000000000006E-3</v>
      </c>
      <c r="BF20" s="1">
        <f t="shared" si="27"/>
        <v>6.5000000000000006E-3</v>
      </c>
      <c r="BI20" s="14">
        <f t="shared" si="28"/>
        <v>1.7399999999999999E-2</v>
      </c>
      <c r="BK20" s="14">
        <f t="shared" si="28"/>
        <v>1.7399999999999999E-2</v>
      </c>
      <c r="BM20" s="14">
        <f t="shared" si="28"/>
        <v>1.7399999999999999E-2</v>
      </c>
      <c r="BX20" s="14">
        <f t="shared" si="11"/>
        <v>4.1999999999999996E-2</v>
      </c>
      <c r="BZ20" s="14">
        <f t="shared" si="12"/>
        <v>4.1999999999999996E-2</v>
      </c>
      <c r="CB20" s="14">
        <f t="shared" si="13"/>
        <v>4.1999999999999996E-2</v>
      </c>
      <c r="CE20" s="22">
        <f t="shared" si="29"/>
        <v>98.507487499999996</v>
      </c>
      <c r="CG20" s="14">
        <f t="shared" si="15"/>
        <v>-3.5992179999999763E-2</v>
      </c>
      <c r="CI20" s="14">
        <f t="shared" si="16"/>
        <v>-3.5992179999999763E-2</v>
      </c>
      <c r="CK20" s="14">
        <f t="shared" si="17"/>
        <v>-3.5992179999999763E-2</v>
      </c>
    </row>
    <row r="21" spans="2:89">
      <c r="B21" t="s">
        <v>56</v>
      </c>
      <c r="C21" s="6">
        <f>C49/C47</f>
        <v>0.24478789573564869</v>
      </c>
      <c r="E21" t="s">
        <v>52</v>
      </c>
      <c r="U21" t="s">
        <v>77</v>
      </c>
      <c r="W21" s="5">
        <f>'Streamlined Dashboard'!N24</f>
        <v>0</v>
      </c>
      <c r="Y21" s="5">
        <f>'Streamlined Dashboard'!P24</f>
        <v>0</v>
      </c>
      <c r="AA21" s="5">
        <f>'Streamlined Dashboard'!R24</f>
        <v>0</v>
      </c>
      <c r="AN21" s="14">
        <f t="shared" si="18"/>
        <v>-0.02</v>
      </c>
      <c r="AP21" s="13">
        <f t="shared" si="19"/>
        <v>3.6740669856459331E-2</v>
      </c>
      <c r="AR21" s="13">
        <f t="shared" si="20"/>
        <v>3.6740669856459331E-2</v>
      </c>
      <c r="AT21" s="13">
        <f t="shared" si="21"/>
        <v>3.6740669856459331E-2</v>
      </c>
      <c r="AV21" s="1">
        <f t="shared" si="22"/>
        <v>1.12E-2</v>
      </c>
      <c r="AX21" s="1">
        <f t="shared" si="23"/>
        <v>1.12E-2</v>
      </c>
      <c r="AZ21" s="1">
        <f t="shared" si="24"/>
        <v>1.12E-2</v>
      </c>
      <c r="BB21" s="1">
        <f t="shared" si="25"/>
        <v>1.9999999999999983E-3</v>
      </c>
      <c r="BD21" s="1">
        <f t="shared" si="26"/>
        <v>1.9999999999999983E-3</v>
      </c>
      <c r="BF21" s="1">
        <f t="shared" si="27"/>
        <v>1.9999999999999983E-3</v>
      </c>
      <c r="BI21" s="14">
        <f t="shared" si="28"/>
        <v>1.3199999999999998E-2</v>
      </c>
      <c r="BK21" s="14">
        <f t="shared" si="28"/>
        <v>1.3199999999999998E-2</v>
      </c>
      <c r="BM21" s="14">
        <f t="shared" si="28"/>
        <v>1.3199999999999998E-2</v>
      </c>
      <c r="BX21" s="14">
        <f t="shared" si="11"/>
        <v>4.0999999999999995E-2</v>
      </c>
      <c r="BZ21" s="14">
        <f t="shared" si="12"/>
        <v>4.0999999999999995E-2</v>
      </c>
      <c r="CB21" s="14">
        <f t="shared" si="13"/>
        <v>4.0999999999999995E-2</v>
      </c>
      <c r="CE21" s="22">
        <f t="shared" si="29"/>
        <v>98.014950062499992</v>
      </c>
      <c r="CG21" s="14">
        <f t="shared" si="15"/>
        <v>-4.3084719099999863E-2</v>
      </c>
      <c r="CI21" s="14">
        <f t="shared" si="16"/>
        <v>-4.3084719099999863E-2</v>
      </c>
      <c r="CK21" s="14">
        <f t="shared" si="17"/>
        <v>-4.3084719099999863E-2</v>
      </c>
    </row>
    <row r="22" spans="2:89">
      <c r="B22" t="s">
        <v>57</v>
      </c>
      <c r="C22" s="6">
        <f>C21-C20</f>
        <v>0.25928789573564848</v>
      </c>
      <c r="U22" t="s">
        <v>299</v>
      </c>
      <c r="W22" s="5">
        <f>'Streamlined Dashboard'!N26</f>
        <v>0</v>
      </c>
      <c r="Y22" s="5">
        <f>'Streamlined Dashboard'!P26</f>
        <v>0</v>
      </c>
      <c r="AA22" s="5">
        <f>'Streamlined Dashboard'!R26</f>
        <v>0</v>
      </c>
      <c r="AN22" s="14">
        <f t="shared" si="18"/>
        <v>-2.5000000000000001E-2</v>
      </c>
      <c r="AP22" s="13">
        <f t="shared" si="19"/>
        <v>3.8425837320574162E-2</v>
      </c>
      <c r="AR22" s="13">
        <f t="shared" si="20"/>
        <v>3.8425837320574162E-2</v>
      </c>
      <c r="AT22" s="13">
        <f t="shared" si="21"/>
        <v>3.8425837320574162E-2</v>
      </c>
      <c r="AV22" s="1">
        <f t="shared" si="22"/>
        <v>1.15E-2</v>
      </c>
      <c r="AX22" s="1">
        <f t="shared" si="23"/>
        <v>1.15E-2</v>
      </c>
      <c r="AZ22" s="1">
        <f t="shared" si="24"/>
        <v>1.15E-2</v>
      </c>
      <c r="BB22" s="1">
        <f t="shared" si="25"/>
        <v>-2.5000000000000022E-3</v>
      </c>
      <c r="BD22" s="1">
        <f t="shared" si="26"/>
        <v>-2.5000000000000022E-3</v>
      </c>
      <c r="BF22" s="1">
        <f t="shared" si="27"/>
        <v>-2.5000000000000022E-3</v>
      </c>
      <c r="BI22" s="14">
        <f t="shared" si="28"/>
        <v>8.9999999999999976E-3</v>
      </c>
      <c r="BK22" s="14">
        <f t="shared" si="28"/>
        <v>8.9999999999999976E-3</v>
      </c>
      <c r="BM22" s="14">
        <f t="shared" si="28"/>
        <v>8.9999999999999976E-3</v>
      </c>
      <c r="BX22" s="14">
        <f t="shared" si="11"/>
        <v>3.9999999999999994E-2</v>
      </c>
      <c r="BZ22" s="14">
        <f t="shared" si="12"/>
        <v>3.9999999999999994E-2</v>
      </c>
      <c r="CB22" s="14">
        <f t="shared" si="13"/>
        <v>3.9999999999999994E-2</v>
      </c>
      <c r="CE22" s="22">
        <f t="shared" si="29"/>
        <v>97.52487531218749</v>
      </c>
      <c r="CG22" s="14">
        <f t="shared" si="15"/>
        <v>-5.0141795504499979E-2</v>
      </c>
      <c r="CI22" s="14">
        <f t="shared" si="16"/>
        <v>-5.0141795504499979E-2</v>
      </c>
      <c r="CK22" s="14">
        <f t="shared" si="17"/>
        <v>-5.0141795504499979E-2</v>
      </c>
    </row>
    <row r="23" spans="2:89">
      <c r="U23" t="s">
        <v>27</v>
      </c>
      <c r="W23" t="s">
        <v>78</v>
      </c>
      <c r="Y23" t="s">
        <v>78</v>
      </c>
      <c r="AA23" t="s">
        <v>78</v>
      </c>
      <c r="AN23" s="14">
        <f t="shared" si="18"/>
        <v>-3.0000000000000002E-2</v>
      </c>
      <c r="AP23" s="13">
        <f t="shared" si="19"/>
        <v>4.0111004784688993E-2</v>
      </c>
      <c r="AR23" s="13">
        <f t="shared" si="20"/>
        <v>4.0111004784688993E-2</v>
      </c>
      <c r="AT23" s="13">
        <f t="shared" si="21"/>
        <v>4.0111004784688993E-2</v>
      </c>
      <c r="AV23" s="1">
        <f t="shared" si="22"/>
        <v>1.18E-2</v>
      </c>
      <c r="AX23" s="1">
        <f t="shared" si="23"/>
        <v>1.18E-2</v>
      </c>
      <c r="AZ23" s="1">
        <f t="shared" si="24"/>
        <v>1.18E-2</v>
      </c>
      <c r="BB23" s="1">
        <f t="shared" si="25"/>
        <v>-7.0000000000000027E-3</v>
      </c>
      <c r="BD23" s="1">
        <f t="shared" si="26"/>
        <v>-7.0000000000000027E-3</v>
      </c>
      <c r="BF23" s="1">
        <f t="shared" si="27"/>
        <v>-7.0000000000000027E-3</v>
      </c>
      <c r="BI23" s="14">
        <f t="shared" si="28"/>
        <v>4.799999999999997E-3</v>
      </c>
      <c r="BK23" s="14">
        <f t="shared" si="28"/>
        <v>4.799999999999997E-3</v>
      </c>
      <c r="BM23" s="14">
        <f t="shared" si="28"/>
        <v>4.799999999999997E-3</v>
      </c>
      <c r="BX23" s="14">
        <f t="shared" si="11"/>
        <v>3.9E-2</v>
      </c>
      <c r="BZ23" s="14">
        <f t="shared" si="12"/>
        <v>3.9E-2</v>
      </c>
      <c r="CB23" s="14">
        <f t="shared" si="13"/>
        <v>3.9E-2</v>
      </c>
      <c r="CE23" s="22">
        <f t="shared" si="29"/>
        <v>97.037250935626545</v>
      </c>
      <c r="CG23" s="14">
        <f t="shared" si="15"/>
        <v>-5.716358652697761E-2</v>
      </c>
      <c r="CI23" s="14">
        <f t="shared" si="16"/>
        <v>-5.716358652697761E-2</v>
      </c>
      <c r="CK23" s="14">
        <f t="shared" si="17"/>
        <v>-5.716358652697761E-2</v>
      </c>
    </row>
    <row r="24" spans="2:89">
      <c r="C24" s="14"/>
      <c r="U24" t="s">
        <v>79</v>
      </c>
      <c r="W24" s="23">
        <f>W25-W26</f>
        <v>0</v>
      </c>
      <c r="Y24" s="23">
        <f>Y25-Y26</f>
        <v>0</v>
      </c>
      <c r="AA24" s="23">
        <f>AA25-AA26</f>
        <v>0</v>
      </c>
      <c r="AN24" s="14">
        <f t="shared" si="18"/>
        <v>-3.5000000000000003E-2</v>
      </c>
      <c r="AP24" s="13">
        <f t="shared" si="19"/>
        <v>4.1796172248803831E-2</v>
      </c>
      <c r="AR24" s="13">
        <f t="shared" si="20"/>
        <v>4.1796172248803831E-2</v>
      </c>
      <c r="AT24" s="13">
        <f t="shared" si="21"/>
        <v>4.1796172248803831E-2</v>
      </c>
      <c r="AV24" s="1">
        <f t="shared" si="22"/>
        <v>1.21E-2</v>
      </c>
      <c r="AX24" s="1">
        <f t="shared" si="23"/>
        <v>1.21E-2</v>
      </c>
      <c r="AZ24" s="1">
        <f t="shared" si="24"/>
        <v>1.21E-2</v>
      </c>
      <c r="BB24" s="1">
        <f t="shared" si="25"/>
        <v>-1.1500000000000007E-2</v>
      </c>
      <c r="BD24" s="1">
        <f t="shared" si="26"/>
        <v>-1.1500000000000007E-2</v>
      </c>
      <c r="BF24" s="1">
        <f t="shared" si="27"/>
        <v>-1.1500000000000007E-2</v>
      </c>
      <c r="BI24" s="14">
        <f t="shared" si="28"/>
        <v>5.999999999999929E-4</v>
      </c>
      <c r="BK24" s="14">
        <f t="shared" si="28"/>
        <v>5.999999999999929E-4</v>
      </c>
      <c r="BM24" s="14">
        <f t="shared" si="28"/>
        <v>5.999999999999929E-4</v>
      </c>
      <c r="BX24" s="14">
        <f t="shared" si="11"/>
        <v>3.7999999999999999E-2</v>
      </c>
      <c r="BZ24" s="14">
        <f t="shared" si="12"/>
        <v>3.7999999999999999E-2</v>
      </c>
      <c r="CB24" s="14">
        <f t="shared" si="13"/>
        <v>3.7999999999999999E-2</v>
      </c>
      <c r="CE24" s="22">
        <f t="shared" si="29"/>
        <v>96.552064680948419</v>
      </c>
      <c r="CG24" s="14">
        <f t="shared" si="15"/>
        <v>-6.4150268594342474E-2</v>
      </c>
      <c r="CI24" s="14">
        <f t="shared" si="16"/>
        <v>-6.4150268594342474E-2</v>
      </c>
      <c r="CK24" s="14">
        <f t="shared" si="17"/>
        <v>-6.4150268594342474E-2</v>
      </c>
    </row>
    <row r="25" spans="2:89">
      <c r="U25" t="s">
        <v>80</v>
      </c>
      <c r="W25" s="5">
        <f>'Streamlined Dashboard'!N32</f>
        <v>0</v>
      </c>
      <c r="Y25" s="5">
        <f>'Streamlined Dashboard'!P32</f>
        <v>0</v>
      </c>
      <c r="AA25" s="5">
        <f>'Streamlined Dashboard'!R32</f>
        <v>0</v>
      </c>
      <c r="AN25" s="14">
        <f t="shared" si="18"/>
        <v>-0.04</v>
      </c>
      <c r="AP25" s="13">
        <f t="shared" si="19"/>
        <v>4.3481339712918662E-2</v>
      </c>
      <c r="AR25" s="13">
        <f t="shared" si="20"/>
        <v>4.3481339712918662E-2</v>
      </c>
      <c r="AT25" s="13">
        <f t="shared" si="21"/>
        <v>4.3481339712918662E-2</v>
      </c>
      <c r="AV25" s="1">
        <f t="shared" si="22"/>
        <v>1.24E-2</v>
      </c>
      <c r="AX25" s="1">
        <f t="shared" si="23"/>
        <v>1.24E-2</v>
      </c>
      <c r="AZ25" s="1">
        <f t="shared" si="24"/>
        <v>1.24E-2</v>
      </c>
      <c r="BB25" s="1">
        <f t="shared" si="25"/>
        <v>-1.6000000000000004E-2</v>
      </c>
      <c r="BD25" s="1">
        <f t="shared" si="26"/>
        <v>-1.6000000000000004E-2</v>
      </c>
      <c r="BF25" s="1">
        <f t="shared" si="27"/>
        <v>-1.6000000000000004E-2</v>
      </c>
      <c r="BI25" s="14">
        <f t="shared" si="28"/>
        <v>-3.6000000000000042E-3</v>
      </c>
      <c r="BK25" s="14">
        <f t="shared" si="28"/>
        <v>-3.6000000000000042E-3</v>
      </c>
      <c r="BM25" s="14">
        <f t="shared" si="28"/>
        <v>-3.6000000000000042E-3</v>
      </c>
      <c r="BX25" s="14">
        <f t="shared" si="11"/>
        <v>3.6999999999999998E-2</v>
      </c>
      <c r="BZ25" s="14">
        <f t="shared" si="12"/>
        <v>3.6999999999999998E-2</v>
      </c>
      <c r="CB25" s="14">
        <f t="shared" si="13"/>
        <v>3.6999999999999998E-2</v>
      </c>
      <c r="CE25" s="22">
        <f t="shared" si="29"/>
        <v>96.069304357543672</v>
      </c>
      <c r="CG25" s="14">
        <f t="shared" si="15"/>
        <v>-7.1102017251370914E-2</v>
      </c>
      <c r="CI25" s="14">
        <f t="shared" si="16"/>
        <v>-7.1102017251370914E-2</v>
      </c>
      <c r="CK25" s="14">
        <f t="shared" si="17"/>
        <v>-7.1102017251370914E-2</v>
      </c>
    </row>
    <row r="26" spans="2:89">
      <c r="B26" t="s">
        <v>14</v>
      </c>
      <c r="C26" s="6">
        <f>C11*C12^(C5-1)*($C$3*$C$8^(1-$C$11)+$C$39*$C$4*$C$9^(1-$C$11))</f>
        <v>9.7560975609756212E-2</v>
      </c>
      <c r="F26" s="91">
        <f>0.2+0.1+0.3+(-0.4-0.15-0.03)+0.2+0.1+0.1+0.05+0.25</f>
        <v>0.72</v>
      </c>
      <c r="I26" s="2">
        <v>0.03</v>
      </c>
      <c r="U26" t="s">
        <v>81</v>
      </c>
      <c r="W26" s="5">
        <f>'Streamlined Dashboard'!N33</f>
        <v>0</v>
      </c>
      <c r="Y26" s="5">
        <f>'Streamlined Dashboard'!P33</f>
        <v>0</v>
      </c>
      <c r="AA26" s="5">
        <f>'Streamlined Dashboard'!R33</f>
        <v>0</v>
      </c>
      <c r="AN26" s="14">
        <f t="shared" ref="AN26:AN27" si="30">AN25-AN$30</f>
        <v>-4.4999999999999998E-2</v>
      </c>
      <c r="AP26" s="13">
        <f t="shared" si="19"/>
        <v>4.5166507177033494E-2</v>
      </c>
      <c r="AR26" s="13">
        <f t="shared" si="20"/>
        <v>4.5166507177033494E-2</v>
      </c>
      <c r="AT26" s="13">
        <f t="shared" si="21"/>
        <v>4.5166507177033494E-2</v>
      </c>
      <c r="AV26" s="1">
        <f t="shared" si="22"/>
        <v>1.2699999999999999E-2</v>
      </c>
      <c r="AX26" s="1">
        <f t="shared" si="23"/>
        <v>1.2699999999999999E-2</v>
      </c>
      <c r="AZ26" s="1">
        <f t="shared" si="24"/>
        <v>1.2699999999999999E-2</v>
      </c>
      <c r="BB26" s="1">
        <f t="shared" si="25"/>
        <v>-2.0500000000000001E-2</v>
      </c>
      <c r="BD26" s="1">
        <f t="shared" si="26"/>
        <v>-2.0500000000000001E-2</v>
      </c>
      <c r="BF26" s="1">
        <f t="shared" si="27"/>
        <v>-2.0500000000000001E-2</v>
      </c>
      <c r="BI26" s="14">
        <f t="shared" si="28"/>
        <v>-7.8000000000000014E-3</v>
      </c>
      <c r="BK26" s="14">
        <f t="shared" si="28"/>
        <v>-7.8000000000000014E-3</v>
      </c>
      <c r="BM26" s="14">
        <f t="shared" si="28"/>
        <v>-7.8000000000000014E-3</v>
      </c>
      <c r="BX26" s="14">
        <f t="shared" si="11"/>
        <v>3.5999999999999997E-2</v>
      </c>
      <c r="BZ26" s="14">
        <f t="shared" si="12"/>
        <v>3.5999999999999997E-2</v>
      </c>
      <c r="CB26" s="14">
        <f t="shared" si="13"/>
        <v>3.5999999999999997E-2</v>
      </c>
      <c r="CE26" s="22">
        <f t="shared" si="29"/>
        <v>95.588957835755949</v>
      </c>
      <c r="CG26" s="14">
        <f t="shared" si="15"/>
        <v>-7.8019007165114104E-2</v>
      </c>
      <c r="CI26" s="14">
        <f t="shared" si="16"/>
        <v>-7.8019007165114104E-2</v>
      </c>
      <c r="CK26" s="14">
        <f t="shared" si="17"/>
        <v>-7.8019007165114104E-2</v>
      </c>
    </row>
    <row r="27" spans="2:89">
      <c r="B27" t="s">
        <v>72</v>
      </c>
      <c r="C27" s="6">
        <f>(1-C6)*C26-C10</f>
        <v>2.0000000000000101E-2</v>
      </c>
      <c r="AE27" s="25"/>
      <c r="AF27" s="25"/>
      <c r="AG27" s="25"/>
      <c r="AH27" s="25"/>
      <c r="AI27" s="25"/>
      <c r="AJ27" s="25"/>
      <c r="AK27" s="25"/>
      <c r="AL27" s="25"/>
      <c r="AN27" s="14">
        <f t="shared" si="30"/>
        <v>-4.9999999999999996E-2</v>
      </c>
      <c r="AP27" s="13">
        <f t="shared" si="19"/>
        <v>4.6851674641148325E-2</v>
      </c>
      <c r="AR27" s="13">
        <f t="shared" si="20"/>
        <v>4.6851674641148325E-2</v>
      </c>
      <c r="AT27" s="13">
        <f t="shared" si="21"/>
        <v>4.6851674641148325E-2</v>
      </c>
      <c r="AV27" s="1">
        <f t="shared" si="22"/>
        <v>1.2999999999999999E-2</v>
      </c>
      <c r="AX27" s="1">
        <f t="shared" si="23"/>
        <v>1.2999999999999999E-2</v>
      </c>
      <c r="AZ27" s="1">
        <f t="shared" si="24"/>
        <v>1.2999999999999999E-2</v>
      </c>
      <c r="BB27" s="1">
        <f t="shared" si="25"/>
        <v>-2.4999999999999998E-2</v>
      </c>
      <c r="BD27" s="1">
        <f t="shared" si="26"/>
        <v>-2.4999999999999998E-2</v>
      </c>
      <c r="BF27" s="1">
        <f t="shared" si="27"/>
        <v>-2.4999999999999998E-2</v>
      </c>
      <c r="BI27" s="14">
        <f t="shared" si="28"/>
        <v>-1.1999999999999999E-2</v>
      </c>
      <c r="BK27" s="14">
        <f t="shared" si="28"/>
        <v>-1.1999999999999999E-2</v>
      </c>
      <c r="BM27" s="14">
        <f t="shared" si="28"/>
        <v>-1.1999999999999999E-2</v>
      </c>
      <c r="BX27" s="14">
        <f t="shared" si="11"/>
        <v>3.4999999999999996E-2</v>
      </c>
      <c r="BZ27" s="14">
        <f t="shared" si="12"/>
        <v>3.4999999999999996E-2</v>
      </c>
      <c r="CB27" s="14">
        <f t="shared" si="13"/>
        <v>3.4999999999999996E-2</v>
      </c>
      <c r="CE27" s="22">
        <f t="shared" si="29"/>
        <v>95.11101304657717</v>
      </c>
      <c r="CG27" s="14">
        <f t="shared" si="15"/>
        <v>-8.4901412129288464E-2</v>
      </c>
      <c r="CI27" s="14">
        <f t="shared" si="16"/>
        <v>-8.4901412129288464E-2</v>
      </c>
      <c r="CK27" s="14">
        <f t="shared" si="17"/>
        <v>-8.4901412129288464E-2</v>
      </c>
    </row>
    <row r="28" spans="2:89">
      <c r="E28" t="s">
        <v>73</v>
      </c>
      <c r="AE28" s="25"/>
      <c r="AF28" s="25"/>
      <c r="AG28" s="25"/>
      <c r="AH28" s="25"/>
      <c r="AI28" s="25"/>
      <c r="AJ28" s="25"/>
      <c r="AK28" s="25"/>
      <c r="AL28" s="25"/>
    </row>
    <row r="29" spans="2:89">
      <c r="T29" t="s">
        <v>33</v>
      </c>
      <c r="AE29" s="25"/>
      <c r="AF29" s="25"/>
      <c r="AG29" s="25"/>
      <c r="AH29" s="25"/>
      <c r="AI29" s="25"/>
      <c r="AJ29" s="25"/>
      <c r="AK29" s="25"/>
      <c r="AL29" s="25"/>
      <c r="CE29" s="34" t="s">
        <v>94</v>
      </c>
    </row>
    <row r="30" spans="2:89">
      <c r="AE30" s="25"/>
      <c r="AF30" s="25"/>
      <c r="AG30" s="25"/>
      <c r="AH30" s="25"/>
      <c r="AI30" s="25"/>
      <c r="AJ30" s="25"/>
      <c r="AK30" s="25"/>
      <c r="AL30" s="25"/>
      <c r="AN30" s="13">
        <v>5.0000000000000001E-3</v>
      </c>
      <c r="AP30" t="s">
        <v>48</v>
      </c>
      <c r="AR30" t="s">
        <v>49</v>
      </c>
      <c r="BY30" t="s">
        <v>48</v>
      </c>
      <c r="CA30" t="s">
        <v>49</v>
      </c>
      <c r="CE30" s="35">
        <v>5.0000000000000001E-3</v>
      </c>
    </row>
    <row r="31" spans="2:89">
      <c r="B31" t="s">
        <v>18</v>
      </c>
      <c r="C31" s="1">
        <v>4.4999999999999998E-2</v>
      </c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P31" t="s">
        <v>21</v>
      </c>
      <c r="AR31" t="str">
        <f>AP31</f>
        <v>base</v>
      </c>
      <c r="BY31" t="s">
        <v>21</v>
      </c>
      <c r="CA31" t="str">
        <f>BY31</f>
        <v>base</v>
      </c>
      <c r="CG31" t="s">
        <v>21</v>
      </c>
    </row>
    <row r="32" spans="2:89">
      <c r="F32" s="2">
        <f>0.05+0.1+0.2</f>
        <v>0.35000000000000003</v>
      </c>
      <c r="I32" s="2">
        <f>-F26</f>
        <v>-0.72</v>
      </c>
      <c r="AB32" s="25"/>
      <c r="AC32" s="25"/>
      <c r="AD32" s="25"/>
      <c r="AP32" t="s">
        <v>46</v>
      </c>
      <c r="AQ32" t="s">
        <v>47</v>
      </c>
      <c r="AR32" t="s">
        <v>46</v>
      </c>
      <c r="AS32" t="s">
        <v>47</v>
      </c>
      <c r="BY32" t="s">
        <v>46</v>
      </c>
      <c r="BZ32" t="s">
        <v>47</v>
      </c>
      <c r="CA32" t="s">
        <v>46</v>
      </c>
      <c r="CB32" t="s">
        <v>47</v>
      </c>
      <c r="CG32" t="s">
        <v>46</v>
      </c>
      <c r="CH32" t="s">
        <v>47</v>
      </c>
      <c r="CI32" t="s">
        <v>46</v>
      </c>
      <c r="CJ32" t="s">
        <v>47</v>
      </c>
    </row>
    <row r="33" spans="2:88">
      <c r="T33" t="s">
        <v>34</v>
      </c>
      <c r="AB33" s="25"/>
      <c r="AC33" s="25"/>
      <c r="AD33" s="25"/>
      <c r="AP33" s="14">
        <f>W67</f>
        <v>0</v>
      </c>
      <c r="AQ33" s="14">
        <v>-0.1</v>
      </c>
      <c r="AR33" s="14">
        <f>AP34</f>
        <v>0</v>
      </c>
      <c r="AS33" s="14">
        <f>AQ34</f>
        <v>0.03</v>
      </c>
      <c r="BY33" s="14">
        <f>AP33</f>
        <v>0</v>
      </c>
      <c r="BZ33" s="14">
        <v>-0.1</v>
      </c>
      <c r="CA33" s="14">
        <f>BY34</f>
        <v>0</v>
      </c>
      <c r="CB33" s="14">
        <f>BZ34</f>
        <v>4.4999999999999998E-2</v>
      </c>
      <c r="CG33" s="14">
        <f>W124</f>
        <v>-1.4499999999999782E-2</v>
      </c>
      <c r="CH33">
        <v>0</v>
      </c>
      <c r="CI33" s="36">
        <v>-0.1</v>
      </c>
      <c r="CJ33" s="22">
        <f>CH34</f>
        <v>100</v>
      </c>
    </row>
    <row r="34" spans="2:88">
      <c r="B34" t="s">
        <v>19</v>
      </c>
      <c r="C34" s="20">
        <f>C35+C36</f>
        <v>0.02</v>
      </c>
      <c r="AB34" s="25"/>
      <c r="AC34" s="25"/>
      <c r="AD34" s="25"/>
      <c r="AP34" s="14">
        <f>W67</f>
        <v>0</v>
      </c>
      <c r="AQ34" s="14">
        <f>W89</f>
        <v>0.03</v>
      </c>
      <c r="AR34" s="14">
        <f>AR33</f>
        <v>0</v>
      </c>
      <c r="AS34" s="13">
        <f>AQ34</f>
        <v>0.03</v>
      </c>
      <c r="BY34" s="14">
        <f>AP34</f>
        <v>0</v>
      </c>
      <c r="BZ34" s="14">
        <f>W74</f>
        <v>4.4999999999999998E-2</v>
      </c>
      <c r="CA34" s="14">
        <f>CA33</f>
        <v>0</v>
      </c>
      <c r="CB34" s="13">
        <f>BZ34</f>
        <v>4.4999999999999998E-2</v>
      </c>
      <c r="CG34" s="14">
        <f>CG33</f>
        <v>-1.4499999999999782E-2</v>
      </c>
      <c r="CH34" s="22">
        <f>W109</f>
        <v>100</v>
      </c>
      <c r="CI34" s="14">
        <f>CG34</f>
        <v>-1.4499999999999782E-2</v>
      </c>
      <c r="CJ34" s="22">
        <f>CJ33</f>
        <v>100</v>
      </c>
    </row>
    <row r="35" spans="2:88">
      <c r="B35" t="s">
        <v>59</v>
      </c>
      <c r="C35" s="6">
        <v>5.0000000000000001E-3</v>
      </c>
      <c r="W35" s="8">
        <f>(1+$K$71)*($F$64*W13)/$J$95</f>
        <v>0</v>
      </c>
      <c r="Y35" s="8">
        <f>(1+$K$71)*($F$64*Y13)/$J$95</f>
        <v>0</v>
      </c>
      <c r="AA35" s="8">
        <f>(1+$K$71)*($F$64*AA13)/$J$95</f>
        <v>0</v>
      </c>
      <c r="AB35" s="25"/>
      <c r="AC35" s="25"/>
      <c r="AD35" s="25"/>
      <c r="AP35" t="str">
        <f>AP31</f>
        <v>base</v>
      </c>
      <c r="AR35" t="str">
        <f>AP35</f>
        <v>base</v>
      </c>
      <c r="BY35" t="str">
        <f>BY31</f>
        <v>base</v>
      </c>
      <c r="CA35" t="str">
        <f>BY35</f>
        <v>base</v>
      </c>
      <c r="CG35" t="s">
        <v>46</v>
      </c>
      <c r="CH35" t="s">
        <v>47</v>
      </c>
    </row>
    <row r="36" spans="2:88">
      <c r="B36" t="s">
        <v>60</v>
      </c>
      <c r="C36" s="6">
        <v>1.4999999999999999E-2</v>
      </c>
      <c r="E36" t="s">
        <v>85</v>
      </c>
      <c r="AP36" t="s">
        <v>46</v>
      </c>
      <c r="AQ36" t="s">
        <v>47</v>
      </c>
      <c r="AR36" t="s">
        <v>46</v>
      </c>
      <c r="AS36" t="s">
        <v>47</v>
      </c>
      <c r="BY36" t="s">
        <v>46</v>
      </c>
      <c r="BZ36" t="s">
        <v>47</v>
      </c>
      <c r="CA36" t="s">
        <v>46</v>
      </c>
      <c r="CB36" t="s">
        <v>47</v>
      </c>
      <c r="CG36" s="14">
        <f>CG33</f>
        <v>-1.4499999999999782E-2</v>
      </c>
      <c r="CH36" s="22">
        <f>CH34</f>
        <v>100</v>
      </c>
    </row>
    <row r="37" spans="2:88">
      <c r="AP37" s="19">
        <v>-0.1</v>
      </c>
      <c r="AQ37" s="14">
        <f>AQ34</f>
        <v>0.03</v>
      </c>
      <c r="BY37" s="19">
        <v>-0.1</v>
      </c>
      <c r="BZ37" s="14">
        <f>BZ34</f>
        <v>4.4999999999999998E-2</v>
      </c>
      <c r="CG37" s="14">
        <f>CG36</f>
        <v>-1.4499999999999782E-2</v>
      </c>
      <c r="CH37" s="22">
        <f>CH34</f>
        <v>100</v>
      </c>
    </row>
    <row r="38" spans="2:88">
      <c r="B38" t="s">
        <v>61</v>
      </c>
      <c r="T38" t="s">
        <v>235</v>
      </c>
      <c r="AP38" s="14">
        <f>AP34</f>
        <v>0</v>
      </c>
      <c r="AQ38" s="14">
        <f>AQ34</f>
        <v>0.03</v>
      </c>
      <c r="BY38" s="14">
        <f>BY34</f>
        <v>0</v>
      </c>
      <c r="BZ38" s="14">
        <f>BZ34</f>
        <v>4.4999999999999998E-2</v>
      </c>
    </row>
    <row r="39" spans="2:88">
      <c r="B39" t="s">
        <v>62</v>
      </c>
      <c r="C39" s="21">
        <v>1</v>
      </c>
    </row>
    <row r="40" spans="2:88">
      <c r="B40" t="s">
        <v>63</v>
      </c>
      <c r="C40" s="21">
        <v>1</v>
      </c>
      <c r="W40" s="8">
        <f>(1+$K$71)*$K$64*W12</f>
        <v>0</v>
      </c>
      <c r="Y40" s="8">
        <f>(1+$K$71)*$K$64*Y12</f>
        <v>0</v>
      </c>
      <c r="AA40" s="8">
        <f>(1+$K$71)*$K$64*AA12</f>
        <v>0</v>
      </c>
      <c r="AP40" t="s">
        <v>50</v>
      </c>
      <c r="AR40" t="str">
        <f>AP40</f>
        <v>(i)</v>
      </c>
      <c r="BY40" t="s">
        <v>50</v>
      </c>
      <c r="CA40" t="str">
        <f>BY40</f>
        <v>(i)</v>
      </c>
      <c r="CG40" t="s">
        <v>50</v>
      </c>
    </row>
    <row r="41" spans="2:88">
      <c r="AP41" t="s">
        <v>46</v>
      </c>
      <c r="AQ41" t="s">
        <v>47</v>
      </c>
      <c r="AR41" t="s">
        <v>46</v>
      </c>
      <c r="AS41" t="s">
        <v>47</v>
      </c>
      <c r="BY41" t="s">
        <v>46</v>
      </c>
      <c r="BZ41" t="s">
        <v>47</v>
      </c>
      <c r="CA41" t="s">
        <v>46</v>
      </c>
      <c r="CB41" t="s">
        <v>47</v>
      </c>
      <c r="CG41" t="s">
        <v>46</v>
      </c>
      <c r="CH41" t="s">
        <v>47</v>
      </c>
      <c r="CI41" t="s">
        <v>46</v>
      </c>
      <c r="CJ41" t="s">
        <v>47</v>
      </c>
    </row>
    <row r="42" spans="2:88">
      <c r="AP42" s="14">
        <f>Y67</f>
        <v>0</v>
      </c>
      <c r="AQ42" s="14">
        <v>-0.1</v>
      </c>
      <c r="AR42" s="14">
        <f>AP43</f>
        <v>0</v>
      </c>
      <c r="AS42" s="14">
        <f>AQ43</f>
        <v>0.03</v>
      </c>
      <c r="BY42" s="14">
        <f>Y67</f>
        <v>0</v>
      </c>
      <c r="BZ42" s="14">
        <v>-0.1</v>
      </c>
      <c r="CA42" s="14">
        <f>BY43</f>
        <v>0</v>
      </c>
      <c r="CB42" s="14">
        <f>BZ43</f>
        <v>4.4999999999999998E-2</v>
      </c>
      <c r="CG42" s="14">
        <f>Y124</f>
        <v>-1.4499999999999782E-2</v>
      </c>
      <c r="CH42">
        <v>0</v>
      </c>
      <c r="CI42" s="36">
        <v>-0.1</v>
      </c>
      <c r="CJ42" s="22">
        <f>CH43</f>
        <v>100</v>
      </c>
    </row>
    <row r="43" spans="2:88" ht="18">
      <c r="B43" t="s">
        <v>64</v>
      </c>
      <c r="C43" s="21">
        <v>3812.9999980140888</v>
      </c>
      <c r="T43" t="s">
        <v>236</v>
      </c>
      <c r="W43" s="8">
        <f>W4*(1/$J$101)/$J$95</f>
        <v>0</v>
      </c>
      <c r="Y43" s="8">
        <f>Y4*(1/$J$101)/$J$95</f>
        <v>0</v>
      </c>
      <c r="AA43" s="8">
        <f>AA4*(1/$J$101)/$J$95</f>
        <v>0</v>
      </c>
      <c r="AP43" s="14">
        <f>AP42</f>
        <v>0</v>
      </c>
      <c r="AQ43" s="14">
        <f>Y89</f>
        <v>0.03</v>
      </c>
      <c r="AR43" s="14">
        <f>AR42</f>
        <v>0</v>
      </c>
      <c r="AS43" s="1">
        <f>AQ43</f>
        <v>0.03</v>
      </c>
      <c r="BY43" s="14">
        <f>BY42</f>
        <v>0</v>
      </c>
      <c r="BZ43" s="14">
        <f>Y74</f>
        <v>4.4999999999999998E-2</v>
      </c>
      <c r="CA43" s="14">
        <f>CA42</f>
        <v>0</v>
      </c>
      <c r="CB43" s="1">
        <f>BZ43</f>
        <v>4.4999999999999998E-2</v>
      </c>
      <c r="CG43" s="14">
        <f>CG42</f>
        <v>-1.4499999999999782E-2</v>
      </c>
      <c r="CH43" s="22">
        <f>Y109</f>
        <v>100</v>
      </c>
      <c r="CI43" s="14">
        <f>CG43</f>
        <v>-1.4499999999999782E-2</v>
      </c>
      <c r="CJ43" s="22">
        <f>CJ42</f>
        <v>100</v>
      </c>
    </row>
    <row r="44" spans="2:88">
      <c r="H44" s="4">
        <f>1-N14</f>
        <v>0.16799999999999993</v>
      </c>
      <c r="K44" s="4">
        <f>F26-I32</f>
        <v>1.44</v>
      </c>
      <c r="W44" s="1"/>
      <c r="AP44" t="str">
        <f>AP40</f>
        <v>(i)</v>
      </c>
      <c r="AR44" t="str">
        <f>AP44</f>
        <v>(i)</v>
      </c>
      <c r="BY44" t="str">
        <f>BY40</f>
        <v>(i)</v>
      </c>
      <c r="CA44" t="str">
        <f>BY44</f>
        <v>(i)</v>
      </c>
      <c r="CG44" t="s">
        <v>46</v>
      </c>
      <c r="CH44" t="s">
        <v>47</v>
      </c>
    </row>
    <row r="45" spans="2:88">
      <c r="AP45" t="s">
        <v>46</v>
      </c>
      <c r="AQ45" t="s">
        <v>47</v>
      </c>
      <c r="AR45" t="s">
        <v>46</v>
      </c>
      <c r="AS45" t="s">
        <v>47</v>
      </c>
      <c r="BY45" t="s">
        <v>46</v>
      </c>
      <c r="BZ45" t="s">
        <v>47</v>
      </c>
      <c r="CA45" t="s">
        <v>46</v>
      </c>
      <c r="CB45" t="s">
        <v>47</v>
      </c>
      <c r="CG45" s="14">
        <f>CG42</f>
        <v>-1.4499999999999782E-2</v>
      </c>
      <c r="CH45" s="22">
        <f>CH43</f>
        <v>100</v>
      </c>
    </row>
    <row r="46" spans="2:88">
      <c r="H46" s="4">
        <f>F26*(1-I26)+I32*I26</f>
        <v>0.67679999999999996</v>
      </c>
      <c r="AP46" s="19">
        <v>-0.1</v>
      </c>
      <c r="AQ46" s="14">
        <f>AQ43</f>
        <v>0.03</v>
      </c>
      <c r="BY46" s="19">
        <v>-0.1</v>
      </c>
      <c r="BZ46" s="14">
        <f>BZ43</f>
        <v>4.4999999999999998E-2</v>
      </c>
      <c r="CG46" s="14">
        <f>CG45</f>
        <v>-1.4499999999999782E-2</v>
      </c>
      <c r="CH46" s="22">
        <f>CH43</f>
        <v>100</v>
      </c>
    </row>
    <row r="47" spans="2:88" ht="18">
      <c r="B47" t="s">
        <v>69</v>
      </c>
      <c r="C47" s="21">
        <v>1239.9999993541767</v>
      </c>
      <c r="AP47" s="14">
        <f>AP43</f>
        <v>0</v>
      </c>
      <c r="AQ47" s="14">
        <f>AQ43</f>
        <v>0.03</v>
      </c>
      <c r="BY47" s="14">
        <f>BY43</f>
        <v>0</v>
      </c>
      <c r="BZ47" s="14">
        <f>BZ43</f>
        <v>4.4999999999999998E-2</v>
      </c>
    </row>
    <row r="48" spans="2:88">
      <c r="B48" t="s">
        <v>70</v>
      </c>
      <c r="C48" s="21">
        <v>936.46300880006208</v>
      </c>
      <c r="E48" t="s">
        <v>231</v>
      </c>
    </row>
    <row r="49" spans="2:88">
      <c r="B49" t="s">
        <v>71</v>
      </c>
      <c r="C49" s="21">
        <v>303.53699055411465</v>
      </c>
      <c r="T49" t="s">
        <v>35</v>
      </c>
      <c r="AP49" t="s">
        <v>51</v>
      </c>
      <c r="AR49" t="str">
        <f>AP49</f>
        <v>(ii)</v>
      </c>
      <c r="BY49" t="s">
        <v>51</v>
      </c>
      <c r="CA49" t="str">
        <f>BY49</f>
        <v>(ii)</v>
      </c>
    </row>
    <row r="50" spans="2:88">
      <c r="W50" s="8">
        <f>(1+$K$71)*W16/$J$95</f>
        <v>0</v>
      </c>
      <c r="Y50" s="8">
        <f>(1+$K$71)*Y16/$J$95</f>
        <v>0</v>
      </c>
      <c r="AA50" s="8">
        <f>(1+$K$71)*AA16/$J$95</f>
        <v>0</v>
      </c>
      <c r="AP50" t="s">
        <v>46</v>
      </c>
      <c r="AQ50" t="s">
        <v>47</v>
      </c>
      <c r="AR50" t="s">
        <v>46</v>
      </c>
      <c r="AS50" t="s">
        <v>47</v>
      </c>
      <c r="BY50" t="s">
        <v>46</v>
      </c>
      <c r="BZ50" t="s">
        <v>47</v>
      </c>
      <c r="CA50" t="s">
        <v>46</v>
      </c>
      <c r="CB50" t="s">
        <v>47</v>
      </c>
      <c r="CG50" t="s">
        <v>51</v>
      </c>
    </row>
    <row r="51" spans="2:88">
      <c r="B51" t="s">
        <v>93</v>
      </c>
      <c r="C51" s="30">
        <v>100</v>
      </c>
      <c r="AP51" s="14">
        <f>AA67</f>
        <v>0</v>
      </c>
      <c r="AQ51" s="14">
        <v>-0.1</v>
      </c>
      <c r="AR51" s="14">
        <f>AP52</f>
        <v>0</v>
      </c>
      <c r="AS51" s="14">
        <f>AQ52</f>
        <v>0.03</v>
      </c>
      <c r="BY51" s="14">
        <f>AA67</f>
        <v>0</v>
      </c>
      <c r="BZ51" s="14">
        <v>-0.1</v>
      </c>
      <c r="CA51" s="14">
        <f>BY52</f>
        <v>0</v>
      </c>
      <c r="CB51" s="14">
        <f>BZ52</f>
        <v>4.4999999999999998E-2</v>
      </c>
      <c r="CG51" t="s">
        <v>46</v>
      </c>
      <c r="CH51" t="s">
        <v>47</v>
      </c>
      <c r="CI51" t="s">
        <v>46</v>
      </c>
      <c r="CJ51" t="s">
        <v>47</v>
      </c>
    </row>
    <row r="52" spans="2:88">
      <c r="F52" s="4">
        <v>1.5</v>
      </c>
      <c r="H52" s="4">
        <f>0.3+0.3+0.2</f>
        <v>0.8</v>
      </c>
      <c r="K52" s="4">
        <v>1</v>
      </c>
      <c r="AP52" s="14">
        <f>AP51</f>
        <v>0</v>
      </c>
      <c r="AQ52" s="14">
        <f>AA89</f>
        <v>0.03</v>
      </c>
      <c r="AR52" s="14">
        <f>AR51</f>
        <v>0</v>
      </c>
      <c r="AS52" s="14">
        <f>AQ52</f>
        <v>0.03</v>
      </c>
      <c r="BY52" s="14">
        <f>BY51</f>
        <v>0</v>
      </c>
      <c r="BZ52" s="14">
        <f>AA74</f>
        <v>4.4999999999999998E-2</v>
      </c>
      <c r="CA52" s="14">
        <f>CA51</f>
        <v>0</v>
      </c>
      <c r="CB52" s="14">
        <f>BZ52</f>
        <v>4.4999999999999998E-2</v>
      </c>
      <c r="CG52" s="14">
        <f>AA124</f>
        <v>-1.4499999999999782E-2</v>
      </c>
      <c r="CH52">
        <v>0</v>
      </c>
      <c r="CI52" s="36">
        <v>-0.1</v>
      </c>
      <c r="CJ52" s="22">
        <f>CH53</f>
        <v>100</v>
      </c>
    </row>
    <row r="53" spans="2:88">
      <c r="T53" t="s">
        <v>82</v>
      </c>
      <c r="AP53" t="str">
        <f>AP49</f>
        <v>(ii)</v>
      </c>
      <c r="AR53" t="str">
        <f>AP53</f>
        <v>(ii)</v>
      </c>
      <c r="BY53" t="str">
        <f>BY49</f>
        <v>(ii)</v>
      </c>
      <c r="CA53" t="str">
        <f>BY53</f>
        <v>(ii)</v>
      </c>
      <c r="CG53" s="14">
        <f>CG52</f>
        <v>-1.4499999999999782E-2</v>
      </c>
      <c r="CH53" s="22">
        <f>AA109</f>
        <v>100</v>
      </c>
      <c r="CI53" s="14">
        <f>CG53</f>
        <v>-1.4499999999999782E-2</v>
      </c>
      <c r="CJ53" s="22">
        <f>CJ52</f>
        <v>100</v>
      </c>
    </row>
    <row r="54" spans="2:88">
      <c r="B54" t="s">
        <v>203</v>
      </c>
      <c r="C54" s="59">
        <v>0.01</v>
      </c>
      <c r="E54" t="s">
        <v>84</v>
      </c>
      <c r="AP54" t="s">
        <v>46</v>
      </c>
      <c r="AQ54" t="s">
        <v>47</v>
      </c>
      <c r="AR54" t="s">
        <v>46</v>
      </c>
      <c r="AS54" t="s">
        <v>47</v>
      </c>
      <c r="BY54" t="s">
        <v>46</v>
      </c>
      <c r="BZ54" t="s">
        <v>47</v>
      </c>
      <c r="CA54" t="s">
        <v>46</v>
      </c>
      <c r="CB54" t="s">
        <v>47</v>
      </c>
      <c r="CG54" t="s">
        <v>46</v>
      </c>
      <c r="CH54" t="s">
        <v>47</v>
      </c>
    </row>
    <row r="55" spans="2:88">
      <c r="B55" t="s">
        <v>204</v>
      </c>
      <c r="W55" s="27">
        <f>((($H$66*(1+$K$71)+1)/$J$95)+(($K$44*(1+(1/(1+$K$71))))/$J$101)/$J$95)*W19</f>
        <v>0</v>
      </c>
      <c r="X55" s="28"/>
      <c r="Y55" s="27">
        <f>((($H$66*(1+$K$71)+1)/$J$95)+(($K$44*(1+(1/(1+$K$71))))/$J$101)/$J$95)*Y19</f>
        <v>0</v>
      </c>
      <c r="Z55" s="28"/>
      <c r="AA55" s="27">
        <f>((($H$66*(1+$K$71)+1)/$J$95)+(($K$44*(1+(1/(1+$K$71))))/$J$101)/$J$95)*AA19</f>
        <v>0</v>
      </c>
      <c r="AP55" s="19">
        <v>-0.1</v>
      </c>
      <c r="AQ55" s="14">
        <f>AQ52</f>
        <v>0.03</v>
      </c>
      <c r="BY55" s="19">
        <v>-0.1</v>
      </c>
      <c r="BZ55" s="14">
        <f>BZ52</f>
        <v>4.4999999999999998E-2</v>
      </c>
      <c r="CG55" s="14">
        <f>CG52</f>
        <v>-1.4499999999999782E-2</v>
      </c>
      <c r="CH55" s="22">
        <f>CH53</f>
        <v>100</v>
      </c>
    </row>
    <row r="56" spans="2:88">
      <c r="B56" t="s">
        <v>205</v>
      </c>
      <c r="C56" s="60">
        <v>100</v>
      </c>
      <c r="V56" t="s">
        <v>237</v>
      </c>
      <c r="W56" s="1">
        <f>(($H$66*(1+$K$71)+1)/$J$95)*W19</f>
        <v>0</v>
      </c>
      <c r="Y56" s="1">
        <f>(($H$66*(1+$K$71)+1)/$J$95)*Y19</f>
        <v>0</v>
      </c>
      <c r="AA56" s="1">
        <f>(($H$66*(1+$K$71)+1)/$J$95)*AA19</f>
        <v>0</v>
      </c>
      <c r="AP56" s="14">
        <f>AP52</f>
        <v>0</v>
      </c>
      <c r="AQ56" s="14">
        <f>AQ52</f>
        <v>0.03</v>
      </c>
      <c r="BY56" s="14">
        <f>BY52</f>
        <v>0</v>
      </c>
      <c r="BZ56" s="14">
        <f>BZ52</f>
        <v>4.4999999999999998E-2</v>
      </c>
      <c r="CG56" s="14">
        <f>CG55</f>
        <v>-1.4499999999999782E-2</v>
      </c>
      <c r="CH56" s="22">
        <f>CH53</f>
        <v>100</v>
      </c>
    </row>
    <row r="57" spans="2:88">
      <c r="B57" t="s">
        <v>206</v>
      </c>
      <c r="C57" s="60">
        <v>100</v>
      </c>
      <c r="V57" t="s">
        <v>238</v>
      </c>
      <c r="W57" s="1">
        <f>((($K$44*(1+(1/(1+$K$71))))/$J$101)/$J$95)*W19</f>
        <v>0</v>
      </c>
      <c r="Y57" s="1">
        <f>((($K$44*(1+(1/(1+$K$71))))/$J$101)/$J$95)*Y19</f>
        <v>0</v>
      </c>
      <c r="AA57" s="1">
        <f>((($K$44*(1+(1/(1+$K$71))))/$J$101)/$J$95)*AA19</f>
        <v>0</v>
      </c>
    </row>
    <row r="58" spans="2:88">
      <c r="B58" t="s">
        <v>207</v>
      </c>
      <c r="C58" s="60">
        <f>100*C56/C57</f>
        <v>100</v>
      </c>
      <c r="F58" s="4">
        <f>5</f>
        <v>5</v>
      </c>
      <c r="I58" s="4">
        <v>0.1</v>
      </c>
      <c r="V58" t="s">
        <v>239</v>
      </c>
      <c r="W58" s="1">
        <f>W56+W57</f>
        <v>0</v>
      </c>
      <c r="Y58" s="1">
        <f>Y56+Y57</f>
        <v>0</v>
      </c>
      <c r="AA58" s="1">
        <f>AA56+AA57</f>
        <v>0</v>
      </c>
    </row>
    <row r="59" spans="2:88">
      <c r="B59" t="s">
        <v>209</v>
      </c>
      <c r="C59" s="60">
        <f>(C56^I26)*(C57^(1-I26))</f>
        <v>100.00000000000001</v>
      </c>
      <c r="T59" t="s">
        <v>86</v>
      </c>
      <c r="V59" t="s">
        <v>239</v>
      </c>
      <c r="W59" s="1">
        <f>((($H$66*(1+$K$71)+1)/$J$95)+(($K$44*(1+(1/(1+$K$71))))/$J$101)/$J$95)*W19</f>
        <v>0</v>
      </c>
      <c r="Y59" s="1">
        <f>((($H$66*(1+$K$71)+1)/$J$95)+(($K$44*(1+(1/(1+$K$71))))/$J$101)/$J$95)*Y19</f>
        <v>0</v>
      </c>
      <c r="AA59" s="1">
        <f>((($H$66*(1+$K$71)+1)/$J$95)+(($K$44*(1+(1/(1+$K$71))))/$J$101)/$J$95)*AA19</f>
        <v>0</v>
      </c>
    </row>
    <row r="60" spans="2:88">
      <c r="E60" t="s">
        <v>232</v>
      </c>
    </row>
    <row r="61" spans="2:88">
      <c r="B61" t="s">
        <v>213</v>
      </c>
      <c r="C61" s="60">
        <v>3</v>
      </c>
    </row>
    <row r="62" spans="2:88">
      <c r="B62" t="s">
        <v>214</v>
      </c>
      <c r="C62" s="60">
        <f>C61*(1+C31)/(1+C54)</f>
        <v>3.1039603960396036</v>
      </c>
      <c r="W62" s="27">
        <f>(($H$46*W24)/$J$101)/$J$95</f>
        <v>0</v>
      </c>
      <c r="X62" s="28"/>
      <c r="Y62" s="27">
        <f>(($H$46*Y24)/$J$101)/$J$95</f>
        <v>0</v>
      </c>
      <c r="Z62" s="28"/>
      <c r="AA62" s="27">
        <f>(($H$46*AA24)/$J$101)/$J$95</f>
        <v>0</v>
      </c>
    </row>
    <row r="63" spans="2:88">
      <c r="W63" s="28"/>
      <c r="Y63" s="28"/>
      <c r="Z63" s="13"/>
      <c r="AA63" s="28"/>
    </row>
    <row r="64" spans="2:88">
      <c r="F64" s="4">
        <f>F52</f>
        <v>1.5</v>
      </c>
      <c r="I64" s="4">
        <f>((F52-1)/F58)+H52</f>
        <v>0.9</v>
      </c>
      <c r="K64" s="4">
        <f>((F52-1)/F58)</f>
        <v>0.1</v>
      </c>
      <c r="T64" t="s">
        <v>87</v>
      </c>
    </row>
    <row r="65" spans="5:31">
      <c r="W65" s="1"/>
      <c r="X65" s="1"/>
      <c r="Y65" s="1"/>
      <c r="Z65" s="1"/>
      <c r="AA65" s="1"/>
    </row>
    <row r="66" spans="5:31">
      <c r="H66" s="4">
        <f>(F52-1)*I58+K52</f>
        <v>1.05</v>
      </c>
      <c r="AE66" s="172" t="s">
        <v>406</v>
      </c>
    </row>
    <row r="67" spans="5:31">
      <c r="W67" s="9">
        <f>W35-W40+W43+W50+W55+W62</f>
        <v>0</v>
      </c>
      <c r="X67" s="14"/>
      <c r="Y67" s="73">
        <f>Y35-Y40+Y43+Y50+Y55+Y62</f>
        <v>0</v>
      </c>
      <c r="Z67" s="13"/>
      <c r="AA67" s="73">
        <f>AA35-AA40+AA43+AA50+AA55+AA62</f>
        <v>0</v>
      </c>
    </row>
    <row r="68" spans="5:31">
      <c r="E68" t="s">
        <v>233</v>
      </c>
    </row>
    <row r="69" spans="5:31">
      <c r="L69" s="69" t="s">
        <v>322</v>
      </c>
      <c r="M69" s="69"/>
      <c r="N69" s="69"/>
      <c r="O69" s="69"/>
    </row>
    <row r="71" spans="5:31">
      <c r="F71" s="4">
        <v>0.01</v>
      </c>
      <c r="I71" s="4">
        <f>-0.9*0-0.06</f>
        <v>-0.06</v>
      </c>
      <c r="K71" s="4">
        <f>0.04*0</f>
        <v>0</v>
      </c>
    </row>
    <row r="72" spans="5:31">
      <c r="T72" t="s">
        <v>37</v>
      </c>
    </row>
    <row r="73" spans="5:31">
      <c r="E73" t="s">
        <v>234</v>
      </c>
    </row>
    <row r="74" spans="5:31">
      <c r="W74" s="9">
        <f>($C$31+W13)+(1/$F$58)*(W67-W12)+$I$58*W19</f>
        <v>4.4999999999999998E-2</v>
      </c>
      <c r="Y74" s="9">
        <f>($C$31+Y13)+(1/$F$58)*(Y67-Y12)+$I$58*Y19</f>
        <v>4.4999999999999998E-2</v>
      </c>
      <c r="AA74" s="9">
        <f>($C$31+AA13)+(1/$F$58)*(AA67-AA12)+$I$58*AA19</f>
        <v>4.4999999999999998E-2</v>
      </c>
    </row>
    <row r="77" spans="5:31">
      <c r="T77" t="s">
        <v>240</v>
      </c>
    </row>
    <row r="80" spans="5:31">
      <c r="W80" s="9">
        <f>$C$34+$F$64*W13+$I$64*W67-$K$64*W12+$H$66*W19+W16</f>
        <v>0.02</v>
      </c>
      <c r="Y80" s="9">
        <f>$C$34+$F$64*Y13+$I$64*Y67-$K$64*Y12+$H$66*Y19+Y16</f>
        <v>0.02</v>
      </c>
      <c r="AA80" s="9">
        <f>$C$34+$F$64*AA13+$I$64*AA67-$K$64*AA12+$H$66*AA19+AA16</f>
        <v>0.02</v>
      </c>
      <c r="AC80" s="14"/>
      <c r="AD80" s="14"/>
    </row>
    <row r="82" spans="5:27">
      <c r="J82" s="26"/>
      <c r="T82" t="s">
        <v>241</v>
      </c>
      <c r="W82" s="14"/>
      <c r="Y82" s="14"/>
    </row>
    <row r="84" spans="5:27">
      <c r="W84" s="9">
        <f>$F$71+$I$71*W67+$K$71*(W80-$C$34)+W19</f>
        <v>0.01</v>
      </c>
      <c r="Y84" s="9">
        <f>$F$71+$I$71*Y67+$K$71*(Y80-$C$34)+Y19</f>
        <v>0.01</v>
      </c>
      <c r="AA84" s="9">
        <f>$F$71+$I$71*AA67+$K$71*(AA80-$C$34)+AA19</f>
        <v>0.01</v>
      </c>
    </row>
    <row r="86" spans="5:27">
      <c r="E86" t="s">
        <v>83</v>
      </c>
      <c r="T86" t="s">
        <v>242</v>
      </c>
    </row>
    <row r="89" spans="5:27">
      <c r="N89">
        <f>((('OPTIONAL FULL MODEL APPENDIX'!$H$66*(1+'OPTIONAL FULL MODEL APPENDIX'!$K$71)+1)/'OPTIONAL FULL MODEL APPENDIX'!$J$95)+(('OPTIONAL FULL MODEL APPENDIX'!$K$44*(1+(1/(1+'OPTIONAL FULL MODEL APPENDIX'!$K$71))))/'OPTIONAL FULL MODEL APPENDIX'!$J$101)/'OPTIONAL FULL MODEL APPENDIX'!$J$95)</f>
        <v>-0.57093495934959315</v>
      </c>
      <c r="W89" s="9">
        <f>W80+W84</f>
        <v>0.03</v>
      </c>
      <c r="Y89" s="9">
        <f>Y80+Y84</f>
        <v>0.03</v>
      </c>
      <c r="AA89" s="9">
        <f>AA80+AA84</f>
        <v>0.03</v>
      </c>
    </row>
    <row r="93" spans="5:27">
      <c r="E93" t="s">
        <v>32</v>
      </c>
    </row>
    <row r="94" spans="5:27">
      <c r="T94" t="s">
        <v>96</v>
      </c>
      <c r="W94" s="9">
        <f>($C$34-W80)+W19+(1-$I$26)*W24</f>
        <v>0</v>
      </c>
      <c r="Y94" s="9">
        <f>($C$34-Y80)+Y19+(1-$I$26)*Y24</f>
        <v>0</v>
      </c>
      <c r="AA94" s="9">
        <f>($C$34-AA80)+AA19+(1-$I$26)*AA24</f>
        <v>0</v>
      </c>
    </row>
    <row r="95" spans="5:27">
      <c r="J95" s="24">
        <f>(J98/J101)-J103</f>
        <v>-1.1770334928229667</v>
      </c>
    </row>
    <row r="98" spans="5:30">
      <c r="J98" s="24">
        <f>(1-(N14+I19+(K44/(1+K71))*I71-F32))</f>
        <v>0.70439999999999992</v>
      </c>
    </row>
    <row r="99" spans="5:30">
      <c r="AD99" s="1">
        <f>SUM(AE99:AY99)</f>
        <v>0</v>
      </c>
    </row>
    <row r="100" spans="5:30">
      <c r="T100" t="s">
        <v>95</v>
      </c>
      <c r="W100" s="9">
        <f>($C$34-W80)+W19-$I$26*W24</f>
        <v>0</v>
      </c>
      <c r="Y100" s="9">
        <f>($C$34-Y80)+Y19-$I$26*Y24</f>
        <v>0</v>
      </c>
      <c r="AA100" s="9">
        <f>($C$34-AA80)+AA19-$I$26*AA24</f>
        <v>0</v>
      </c>
    </row>
    <row r="101" spans="5:30">
      <c r="J101" s="24">
        <f>P8+K14-(K44/(1+K71))</f>
        <v>-2.09</v>
      </c>
    </row>
    <row r="103" spans="5:30">
      <c r="J103" s="24">
        <f>(1+K71)*I64+I71</f>
        <v>0.84000000000000008</v>
      </c>
    </row>
    <row r="106" spans="5:30">
      <c r="J106" s="24">
        <f>K44*(1+(1/(1+K71)))</f>
        <v>2.88</v>
      </c>
      <c r="T106" t="s">
        <v>97</v>
      </c>
      <c r="W106" s="9">
        <f>W94-(1-$I$26)*W24</f>
        <v>0</v>
      </c>
      <c r="Y106" s="9">
        <f>Y94-(1-$I$26)*Y24</f>
        <v>0</v>
      </c>
      <c r="AA106" s="9">
        <f>AA94-(1-$I$26)*AA24</f>
        <v>0</v>
      </c>
    </row>
    <row r="107" spans="5:30">
      <c r="T107" t="s">
        <v>98</v>
      </c>
    </row>
    <row r="109" spans="5:30">
      <c r="E109" t="s">
        <v>293</v>
      </c>
      <c r="T109" t="s">
        <v>99</v>
      </c>
      <c r="W109" s="32">
        <f>$C$51*(1+W106)</f>
        <v>100</v>
      </c>
      <c r="Y109" s="32">
        <f>$C$51*(1+Y106)</f>
        <v>100</v>
      </c>
      <c r="AA109" s="32">
        <f>$C$51*(1+AA106)</f>
        <v>100</v>
      </c>
    </row>
    <row r="110" spans="5:30">
      <c r="T110" t="s">
        <v>100</v>
      </c>
    </row>
    <row r="111" spans="5:30">
      <c r="J111" s="24">
        <f>K44</f>
        <v>1.44</v>
      </c>
    </row>
    <row r="112" spans="5:30">
      <c r="T112" t="s">
        <v>41</v>
      </c>
    </row>
    <row r="113" spans="10:27">
      <c r="T113" t="s">
        <v>42</v>
      </c>
      <c r="W113" s="11">
        <f>$C$13*(1+W67)</f>
        <v>1239.9999993541767</v>
      </c>
      <c r="X113" s="12"/>
      <c r="Y113" s="11">
        <f>$C$13*(1+Y67)</f>
        <v>1239.9999993541767</v>
      </c>
      <c r="Z113" s="12"/>
      <c r="AA113" s="11">
        <f>$C$13*(1+AA67)</f>
        <v>1239.9999993541767</v>
      </c>
    </row>
    <row r="114" spans="10:27">
      <c r="O114" s="90">
        <f>(J117-J119)*J122</f>
        <v>1.3047005691056903</v>
      </c>
      <c r="T114" t="s">
        <v>38</v>
      </c>
      <c r="W114" s="11">
        <f>$C$13*($G$8+$I$8*((1-$K$8)*W67-W9)+$P$8*(W89-($C$34+$F$71))+W5)</f>
        <v>805.99999958021488</v>
      </c>
      <c r="X114" s="12"/>
      <c r="Y114" s="11">
        <f>$C$13*($G$8+$I$8*((1-$K$8)*Y67-Y9)+$P$8*(Y89-($C$34+$F$71))+Y5)</f>
        <v>805.99999958021488</v>
      </c>
      <c r="Z114" s="12"/>
      <c r="AA114" s="11">
        <f>$C$13*($G$8+$I$8*((1-$K$8)*AA67-AA9)+$P$8*(AA89-($C$34+$F$71))+AA5)</f>
        <v>805.99999958021488</v>
      </c>
    </row>
    <row r="115" spans="10:27">
      <c r="T115" t="s">
        <v>39</v>
      </c>
      <c r="W115" s="11">
        <f>$C$13*($F$14+$I$14*W67+$K$14*(W89-($C$34+$F$71)))+W6</f>
        <v>228.77999988084531</v>
      </c>
      <c r="X115" s="12"/>
      <c r="Y115" s="154">
        <f>$C$13*($F$14+$I$14*Y67+$K$14*(Y89-($C$34+$F$71)))+Y6</f>
        <v>228.77999988084531</v>
      </c>
      <c r="Z115" s="12"/>
      <c r="AA115" s="154">
        <f>$C$13*($F$14+$I$14*AA67+$K$14*(AA89-($C$34+$F$71)))+AA6</f>
        <v>228.77999988084531</v>
      </c>
    </row>
    <row r="116" spans="10:27">
      <c r="T116" t="s">
        <v>40</v>
      </c>
      <c r="W116" s="11">
        <f>$C$13*($F$19+$I$19*W67+W8)</f>
        <v>223.19999988375179</v>
      </c>
      <c r="X116" s="12"/>
      <c r="Y116" s="11">
        <f>$C$13*($F$19+$I$19*Y67+Y8)</f>
        <v>223.19999988375179</v>
      </c>
      <c r="Z116" s="12"/>
      <c r="AA116" s="11">
        <f>$C$13*($F$19+$I$19*AA67+AA8)</f>
        <v>223.19999988375179</v>
      </c>
    </row>
    <row r="117" spans="10:27">
      <c r="J117" s="90">
        <f>(-K44/(1+K71))*((1+K71)*(I64+H66)+I71)</f>
        <v>-2.7216</v>
      </c>
      <c r="T117" t="s">
        <v>88</v>
      </c>
      <c r="W117" s="11">
        <f>W118-W119</f>
        <v>-17.979999990635292</v>
      </c>
      <c r="Y117" s="11">
        <f>Y118-Y119</f>
        <v>-17.979999990635292</v>
      </c>
      <c r="AA117" s="11">
        <f>AA118-AA119</f>
        <v>-17.979999990635292</v>
      </c>
    </row>
    <row r="118" spans="10:27">
      <c r="T118" t="s">
        <v>89</v>
      </c>
      <c r="W118" s="11">
        <f>$C$13*($C$21-$F$26*(W80-$C$34)+$F$26*W19+$F$26*(1-$I$26)*W$24)</f>
        <v>303.53699055411465</v>
      </c>
      <c r="Y118" s="11">
        <f>$C$13*($C$21-$F$26*(Y80-$C$34)+$F$26*Y19+$F$26*(1-$I$26)*Y$24)</f>
        <v>303.53699055411465</v>
      </c>
      <c r="AA118" s="11">
        <f>$C$13*($C$21-$F$26*(AA80-$C$34)+$F$26*AA19+$F$26*(1-$I$26)*AA$24)</f>
        <v>303.53699055411465</v>
      </c>
    </row>
    <row r="119" spans="10:27">
      <c r="J119" s="90">
        <f>F26*I71-(F32+(I32*I71/(1+K71)))</f>
        <v>-0.43640000000000007</v>
      </c>
      <c r="T119" t="s">
        <v>90</v>
      </c>
      <c r="W119" s="11">
        <f>$C$13*($C$22+$F$32*W67-$I$32*(W80-$C$34)+$I$32*W19-$I$32*$I$26*W$24)</f>
        <v>321.51699054474994</v>
      </c>
      <c r="Y119" s="11">
        <f>$C$13*($C$22+$F$32*Y67-$I$32*(Y80-$C$34)+$I$32*Y19-$I$32*$I$26*Y$24)</f>
        <v>321.51699054474994</v>
      </c>
      <c r="AA119" s="11">
        <f>$C$13*($C$22+$F$32*AA67-$I$32*(AA80-$C$34)+$I$32*AA19-$I$32*$I$26*AA$24)</f>
        <v>321.51699054474994</v>
      </c>
    </row>
    <row r="120" spans="10:27">
      <c r="W120" s="156">
        <f>W113-W114-W115-W116-W117</f>
        <v>0</v>
      </c>
      <c r="Y120" s="156">
        <f>Y113-Y114-Y115-Y116-Y117</f>
        <v>0</v>
      </c>
      <c r="AA120" s="156">
        <f>AA113-AA114-AA115-AA116-AA117</f>
        <v>0</v>
      </c>
    </row>
    <row r="121" spans="10:27">
      <c r="T121" t="s">
        <v>249</v>
      </c>
      <c r="Y121" s="1"/>
    </row>
    <row r="122" spans="10:27">
      <c r="J122" s="90">
        <f>((($H$66*(1+$K$71)+1)/$J$95)+(($K$44*(1+(1/(1+$K$71))))/$J$101)/$J$95)</f>
        <v>-0.57093495934959315</v>
      </c>
      <c r="L122">
        <f>-J122*F32</f>
        <v>0.19982723577235761</v>
      </c>
      <c r="M122" s="85">
        <v>-0.91247672253258849</v>
      </c>
      <c r="T122" t="s">
        <v>250</v>
      </c>
      <c r="Y122" s="1"/>
    </row>
    <row r="124" spans="10:27" ht="17.25">
      <c r="T124" t="s">
        <v>101</v>
      </c>
      <c r="W124" s="33">
        <f>W117/$C$13</f>
        <v>-1.4499999999999782E-2</v>
      </c>
      <c r="Y124" s="33">
        <f>Y117/$C$13</f>
        <v>-1.4499999999999782E-2</v>
      </c>
      <c r="AA124" s="33">
        <f>AA117/$C$13</f>
        <v>-1.4499999999999782E-2</v>
      </c>
    </row>
    <row r="125" spans="10:27" ht="17.25">
      <c r="J125" s="24">
        <f>(($F$26-$F$26*(($I$64*((($H$66*(1+$K$71)+1)/$J$95)+(($K$44*(1+(1/(1+$K$71))))/$J$101)/$J$95)++$H$66)))-(+$I$32-$I$32*(($I$64*((($H$66*(1+$K$71)+1)/$J$95)+(($K$44*(1+(1/(1+$K$71))))/$J$101)/$J$95)++$H$66))+$F$32*((($H$66*(1+$K$71)+1)/$J$95)+(($K$44*(1+(1/(1+$K$71))))/$J$101)/$J$95)))</f>
        <v>0.86775894308943036</v>
      </c>
      <c r="K125" t="s">
        <v>321</v>
      </c>
      <c r="N125" s="26"/>
      <c r="T125" t="s">
        <v>102</v>
      </c>
      <c r="W125" s="14">
        <f>$C$20</f>
        <v>-1.4499999999999791E-2</v>
      </c>
      <c r="Y125" s="14">
        <f>$C$20</f>
        <v>-1.4499999999999791E-2</v>
      </c>
      <c r="AA125" s="14">
        <f>$C$20</f>
        <v>-1.4499999999999791E-2</v>
      </c>
    </row>
    <row r="126" spans="10:27">
      <c r="T126" t="s">
        <v>103</v>
      </c>
      <c r="W126" s="33">
        <f>W125-W124</f>
        <v>0</v>
      </c>
      <c r="Y126" s="33">
        <f>Y125-Y124</f>
        <v>0</v>
      </c>
      <c r="AA126" s="33">
        <f>AA125-AA124</f>
        <v>0</v>
      </c>
    </row>
    <row r="127" spans="10:27">
      <c r="J127" s="89">
        <f>1/J125</f>
        <v>1.1523937701405411</v>
      </c>
    </row>
    <row r="128" spans="10:27">
      <c r="T128" t="s">
        <v>104</v>
      </c>
    </row>
    <row r="129" spans="5:27">
      <c r="J129">
        <f>1/J125</f>
        <v>1.1523937701405411</v>
      </c>
      <c r="T129" t="s">
        <v>105</v>
      </c>
      <c r="W129" s="33">
        <f>W130+W131+W132+W133</f>
        <v>0</v>
      </c>
      <c r="X129" s="1"/>
      <c r="Y129" s="33">
        <f>Y130+Y131+Y132+Y133</f>
        <v>0</v>
      </c>
      <c r="Z129" s="1"/>
      <c r="AA129" s="33">
        <f>AA130+AA131+AA132+AA133</f>
        <v>0</v>
      </c>
    </row>
    <row r="130" spans="5:27">
      <c r="E130" t="s">
        <v>294</v>
      </c>
      <c r="T130" t="s">
        <v>38</v>
      </c>
      <c r="W130" s="33">
        <f>($I$8*((1-$K$8)*W67-W9)+$P$8*(W89-($C$34+$F$71))+W5)</f>
        <v>0</v>
      </c>
      <c r="X130" s="1"/>
      <c r="Y130" s="33">
        <f>($I$8*((1-$K$8)*Y67-Y9)+$P$8*(Y89-($C$34+$F$71))+Y5)</f>
        <v>0</v>
      </c>
      <c r="Z130" s="1"/>
      <c r="AA130" s="33">
        <f>($I$8*((1-$K$8)*AA67-AA9)+$P$8*(AA89-($C$34+$F$71))+AA5)</f>
        <v>0</v>
      </c>
    </row>
    <row r="131" spans="5:27">
      <c r="E131" s="56" t="s">
        <v>295</v>
      </c>
      <c r="J131" s="83">
        <v>0.01</v>
      </c>
      <c r="T131" t="s">
        <v>39</v>
      </c>
      <c r="W131" s="33">
        <f>(+$I$14*W67+$K$14*(W89-($C$34+$F$71)))+W6</f>
        <v>0</v>
      </c>
      <c r="X131" s="1"/>
      <c r="Y131" s="157">
        <f>(+$I$14*Y67+$K$14*(Y89-($C$34+$F$71)))+Y6</f>
        <v>0</v>
      </c>
      <c r="Z131" s="1"/>
      <c r="AA131" s="157">
        <f>(+$I$14*AA67+$K$14*(AA89-($C$34+$F$71)))+AA6</f>
        <v>0</v>
      </c>
    </row>
    <row r="132" spans="5:27">
      <c r="E132" s="56" t="s">
        <v>296</v>
      </c>
      <c r="J132" s="33">
        <f>J131*J127</f>
        <v>1.1523937701405411E-2</v>
      </c>
      <c r="T132" t="s">
        <v>40</v>
      </c>
      <c r="W132" s="33">
        <f>($I$19*W67+W8)</f>
        <v>0</v>
      </c>
      <c r="X132" s="1"/>
      <c r="Y132" s="33">
        <f>($I$19*Y67+Y8)</f>
        <v>0</v>
      </c>
      <c r="Z132" s="1"/>
      <c r="AA132" s="33">
        <f>($I$19*AA67+AA8)</f>
        <v>0</v>
      </c>
    </row>
    <row r="133" spans="5:27">
      <c r="T133" t="s">
        <v>88</v>
      </c>
      <c r="W133" s="33">
        <f>W134-W135</f>
        <v>0</v>
      </c>
      <c r="X133" s="1"/>
      <c r="Y133" s="33">
        <f>Y134-Y135</f>
        <v>0</v>
      </c>
      <c r="Z133" s="1"/>
      <c r="AA133" s="33">
        <f>AA134-AA135</f>
        <v>0</v>
      </c>
    </row>
    <row r="134" spans="5:27">
      <c r="T134" t="s">
        <v>89</v>
      </c>
      <c r="W134" s="33">
        <f>(-$F$26*(W80-$C$34)+$F$26*W19+$F$26*(1-$I$26)*W$24)</f>
        <v>0</v>
      </c>
      <c r="X134" s="1"/>
      <c r="Y134" s="65">
        <f>(-$F$26*(Y80-$C$34)+$F$26*Y19+$F$26*(1-$I$26)*Y$24)</f>
        <v>0</v>
      </c>
      <c r="Z134" s="1"/>
      <c r="AA134" s="65">
        <f>(-$F$26*(AA80-$C$34)+$F$26*AA19+$F$26*(1-$I$26)*AA$24)</f>
        <v>0</v>
      </c>
    </row>
    <row r="135" spans="5:27">
      <c r="T135" t="s">
        <v>90</v>
      </c>
      <c r="W135" s="33">
        <f>(+$F$32*W67-$I$32*(W80-$C$34)+$I$32*W19-$I$32*$I$26*W$24)</f>
        <v>0</v>
      </c>
      <c r="X135" s="1"/>
      <c r="Y135" s="65">
        <f>(+$F$32*Y67-$I$32*(Y80-$C$34)+$I$32*Y19-$I$32*$I$26*Y$24)</f>
        <v>0</v>
      </c>
      <c r="Z135" s="1"/>
      <c r="AA135" s="65">
        <f>(+$F$32*AA67-$I$32*(AA80-$C$34)+$I$32*AA19-$I$32*$I$26*AA$24)</f>
        <v>0</v>
      </c>
    </row>
    <row r="137" spans="5:27">
      <c r="W137" s="155"/>
      <c r="X137" s="155"/>
      <c r="Y137" s="155"/>
      <c r="Z137" s="155"/>
      <c r="AA137" s="155"/>
    </row>
    <row r="139" spans="5:27">
      <c r="T139" t="s">
        <v>43</v>
      </c>
      <c r="W139" s="10" t="str">
        <f>IF(ABS(W113-W114-W115-W116-W117)&lt;=0.0001,"OK","")</f>
        <v>OK</v>
      </c>
      <c r="Y139" s="10" t="str">
        <f>IF(ABS(Y113-Y114-Y115-Y116-Y117)&lt;=0.0001,"OK","")</f>
        <v>OK</v>
      </c>
      <c r="AA139" s="10" t="str">
        <f>IF(ABS(AA113-AA114-AA115-AA116-AA117)&lt;=0.0001,"OK","")</f>
        <v>OK</v>
      </c>
    </row>
    <row r="140" spans="5:27">
      <c r="W140" s="26"/>
      <c r="Y140" s="26"/>
      <c r="AA140" s="26"/>
    </row>
    <row r="142" spans="5:27">
      <c r="V142" t="s">
        <v>259</v>
      </c>
      <c r="W142" t="s">
        <v>21</v>
      </c>
      <c r="X142" t="s">
        <v>106</v>
      </c>
      <c r="Y142" t="s">
        <v>22</v>
      </c>
      <c r="AA142" t="s">
        <v>23</v>
      </c>
    </row>
    <row r="144" spans="5:27">
      <c r="T144" t="s">
        <v>173</v>
      </c>
      <c r="U144" t="s">
        <v>174</v>
      </c>
      <c r="V144" s="58">
        <f>'OPTIONAL FULL MODEL APPENDIX'!C56/(1+'OPTIONAL FULL MODEL APPENDIX'!C54)</f>
        <v>99.009900990099013</v>
      </c>
      <c r="W144" s="32">
        <f>$V144*(1+'OPTIONAL FULL MODEL APPENDIX'!$C$54)*(1+'OPTIONAL FULL MODEL APPENDIX'!W25)</f>
        <v>100</v>
      </c>
      <c r="Y144" s="32">
        <f>$V144*(1+'OPTIONAL FULL MODEL APPENDIX'!$C$54)*(1+'OPTIONAL FULL MODEL APPENDIX'!Y25)</f>
        <v>100</v>
      </c>
      <c r="AA144" s="32">
        <f>$V144*(1+'OPTIONAL FULL MODEL APPENDIX'!$C$54)*(1+'OPTIONAL FULL MODEL APPENDIX'!AA25)</f>
        <v>100</v>
      </c>
    </row>
    <row r="145" spans="20:27">
      <c r="T145" t="s">
        <v>175</v>
      </c>
      <c r="U145" t="s">
        <v>176</v>
      </c>
      <c r="V145" s="58">
        <f>'OPTIONAL FULL MODEL APPENDIX'!C57/(1+'OPTIONAL FULL MODEL APPENDIX'!C54)</f>
        <v>99.009900990099013</v>
      </c>
      <c r="W145" s="32">
        <f>$V145*(1+'OPTIONAL FULL MODEL APPENDIX'!$C$54)*(1+'OPTIONAL FULL MODEL APPENDIX'!W26)</f>
        <v>100</v>
      </c>
      <c r="Y145" s="32">
        <f>$V145*(1+'OPTIONAL FULL MODEL APPENDIX'!$C$54)*(1+'OPTIONAL FULL MODEL APPENDIX'!Y26)</f>
        <v>100</v>
      </c>
      <c r="AA145" s="32">
        <f>$V145*(1+'OPTIONAL FULL MODEL APPENDIX'!$C$54)*(1+'OPTIONAL FULL MODEL APPENDIX'!AA26)</f>
        <v>100</v>
      </c>
    </row>
    <row r="146" spans="20:27">
      <c r="T146" t="s">
        <v>177</v>
      </c>
      <c r="U146" t="s">
        <v>178</v>
      </c>
      <c r="V146" s="58">
        <f>100*(V144/V145)</f>
        <v>100</v>
      </c>
      <c r="W146" s="32">
        <f>100*(W144/W145)</f>
        <v>100</v>
      </c>
      <c r="Y146" s="32">
        <f>100*(Y144/Y145)</f>
        <v>100</v>
      </c>
      <c r="AA146" s="32">
        <f>100*(AA144/AA145)</f>
        <v>100</v>
      </c>
    </row>
    <row r="148" spans="20:27" ht="17.25">
      <c r="T148" t="s">
        <v>208</v>
      </c>
      <c r="U148" t="s">
        <v>210</v>
      </c>
      <c r="V148" s="58">
        <f>(V144^'OPTIONAL FULL MODEL APPENDIX'!$I$26)*(V145^(1-'OPTIONAL FULL MODEL APPENDIX'!$I$26))</f>
        <v>99.00990099009897</v>
      </c>
      <c r="W148" s="32">
        <f>(W144^'OPTIONAL FULL MODEL APPENDIX'!$I$26)*(W145^(1-'OPTIONAL FULL MODEL APPENDIX'!$I$26))</f>
        <v>100.00000000000001</v>
      </c>
      <c r="Y148" s="32">
        <f>(Y144^'OPTIONAL FULL MODEL APPENDIX'!$I$26)*(Y145^(1-'OPTIONAL FULL MODEL APPENDIX'!$I$26))</f>
        <v>100.00000000000001</v>
      </c>
      <c r="AA148" s="32">
        <f>(AA144^'OPTIONAL FULL MODEL APPENDIX'!$I$26)*(AA145^(1-'OPTIONAL FULL MODEL APPENDIX'!$I$26))</f>
        <v>100.00000000000001</v>
      </c>
    </row>
    <row r="150" spans="20:27" ht="17.25">
      <c r="T150" t="s">
        <v>196</v>
      </c>
      <c r="U150" s="56" t="s">
        <v>198</v>
      </c>
      <c r="W150" s="33">
        <f>W148/$V148-1</f>
        <v>1.0000000000000453E-2</v>
      </c>
      <c r="Y150" s="33">
        <f>Y148/$V148-1</f>
        <v>1.0000000000000453E-2</v>
      </c>
      <c r="AA150" s="33">
        <f>AA148/$V148-1</f>
        <v>1.0000000000000453E-2</v>
      </c>
    </row>
    <row r="152" spans="20:27">
      <c r="T152" t="s">
        <v>263</v>
      </c>
      <c r="W152" s="33">
        <f>((1+'OPTIONAL FULL MODEL APPENDIX'!$C$35)*(1+'OPTIONAL FULL MODEL APPENDIX'!$C$36)*(1+W150)*(1+'OPTIONAL FULL MODEL APPENDIX'!W20)*(1+'OPTIONAL FULL MODEL APPENDIX'!W21))-1</f>
        <v>3.0275750000000379E-2</v>
      </c>
      <c r="Y152" s="33">
        <f>((1+'OPTIONAL FULL MODEL APPENDIX'!$C$35)*(1+'OPTIONAL FULL MODEL APPENDIX'!$C$36)*(1+Y150)*(1+'OPTIONAL FULL MODEL APPENDIX'!Y20)*(1+'OPTIONAL FULL MODEL APPENDIX'!Y21))-1</f>
        <v>3.0275750000000379E-2</v>
      </c>
      <c r="AA152" s="33">
        <f>((1+'OPTIONAL FULL MODEL APPENDIX'!$C$35)*(1+'OPTIONAL FULL MODEL APPENDIX'!$C$36)*(1+AA150)*(1+'OPTIONAL FULL MODEL APPENDIX'!AA20)*(1+'OPTIONAL FULL MODEL APPENDIX'!AA21))-1</f>
        <v>3.0275750000000379E-2</v>
      </c>
    </row>
    <row r="154" spans="20:27">
      <c r="T154" t="s">
        <v>262</v>
      </c>
      <c r="W154" s="19">
        <v>0.01</v>
      </c>
      <c r="Y154" s="19">
        <v>0.01</v>
      </c>
      <c r="AA154" s="19">
        <v>0.01</v>
      </c>
    </row>
    <row r="155" spans="20:27">
      <c r="T155" t="s">
        <v>260</v>
      </c>
      <c r="W155" s="14">
        <f>W150-W154</f>
        <v>4.5276282722994665E-16</v>
      </c>
      <c r="Y155" s="14">
        <f>Y150-Y154</f>
        <v>4.5276282722994665E-16</v>
      </c>
      <c r="AA155" s="14">
        <f>AA150-AA154</f>
        <v>4.5276282722994665E-16</v>
      </c>
    </row>
    <row r="156" spans="20:27">
      <c r="T156" t="s">
        <v>261</v>
      </c>
    </row>
    <row r="158" spans="20:27">
      <c r="T158" t="s">
        <v>268</v>
      </c>
      <c r="V158" s="76" t="s">
        <v>267</v>
      </c>
    </row>
    <row r="159" spans="20:27">
      <c r="T159" t="s">
        <v>269</v>
      </c>
      <c r="V159" s="76" t="s">
        <v>266</v>
      </c>
      <c r="W159" s="55" t="str">
        <f>IF(V158="YES","DISABLED","")</f>
        <v/>
      </c>
    </row>
    <row r="160" spans="20:27">
      <c r="V160" s="77" t="str">
        <f>IF(AND(V158&lt;&gt;"YES",V159="YES"),"YES","")</f>
        <v>YES</v>
      </c>
    </row>
    <row r="162" spans="22:27">
      <c r="V162" t="s">
        <v>300</v>
      </c>
      <c r="AA162" s="13"/>
    </row>
    <row r="163" spans="22:27">
      <c r="Y163" s="13"/>
    </row>
    <row r="164" spans="22:27">
      <c r="V164" t="s">
        <v>301</v>
      </c>
    </row>
    <row r="165" spans="22:27">
      <c r="V165" t="s">
        <v>302</v>
      </c>
      <c r="W165" s="33">
        <f>W166-W167</f>
        <v>0</v>
      </c>
      <c r="Y165" s="33">
        <f>Y166-Y167</f>
        <v>0</v>
      </c>
      <c r="AA165" s="33">
        <f>AA166-AA167</f>
        <v>0</v>
      </c>
    </row>
    <row r="166" spans="22:27">
      <c r="V166" t="s">
        <v>89</v>
      </c>
      <c r="W166" s="33">
        <f>$F$26*W19</f>
        <v>0</v>
      </c>
      <c r="Y166" s="33">
        <f>$F$26*Y19</f>
        <v>0</v>
      </c>
      <c r="AA166" s="33">
        <f>$F$26*AA19</f>
        <v>0</v>
      </c>
    </row>
    <row r="167" spans="22:27">
      <c r="V167" t="s">
        <v>303</v>
      </c>
      <c r="W167" s="33">
        <f>+$I$32*W19</f>
        <v>0</v>
      </c>
      <c r="Y167" s="33">
        <f>+$I$32*Y19</f>
        <v>0</v>
      </c>
      <c r="AA167" s="33">
        <f>+$I$32*AA19</f>
        <v>0</v>
      </c>
    </row>
    <row r="169" spans="22:27">
      <c r="V169" t="s">
        <v>305</v>
      </c>
    </row>
    <row r="170" spans="22:27">
      <c r="V170" t="s">
        <v>302</v>
      </c>
      <c r="W170" s="33">
        <f>W171-W172</f>
        <v>0</v>
      </c>
      <c r="Y170" s="33">
        <f>Y171-Y172</f>
        <v>0</v>
      </c>
      <c r="AA170" s="33">
        <f>AA171-AA172</f>
        <v>0</v>
      </c>
    </row>
    <row r="171" spans="22:27">
      <c r="V171" t="s">
        <v>89</v>
      </c>
      <c r="W171" s="33">
        <f>-$F$26*(W80-$C$34)</f>
        <v>0</v>
      </c>
      <c r="Y171" s="33">
        <f>-$F$26*(Y80-$C$34)</f>
        <v>0</v>
      </c>
      <c r="AA171" s="33">
        <f>-$F$26*(AA80-$C$34)</f>
        <v>0</v>
      </c>
    </row>
    <row r="172" spans="22:27">
      <c r="V172" t="s">
        <v>303</v>
      </c>
      <c r="W172" s="33">
        <f>-$I$32*(W80-$C$34)</f>
        <v>0</v>
      </c>
      <c r="Y172" s="33">
        <f>-$I$32*(Y80-$C$34)</f>
        <v>0</v>
      </c>
      <c r="AA172" s="33">
        <f>-$I$32*(AA80-$C$34)</f>
        <v>0</v>
      </c>
    </row>
    <row r="174" spans="22:27">
      <c r="V174" t="s">
        <v>304</v>
      </c>
    </row>
    <row r="175" spans="22:27">
      <c r="V175" t="s">
        <v>302</v>
      </c>
      <c r="W175" s="33">
        <f>-W177</f>
        <v>0</v>
      </c>
      <c r="Y175" s="33">
        <f>-Y177</f>
        <v>0</v>
      </c>
      <c r="AA175" s="33">
        <f>-AA177</f>
        <v>0</v>
      </c>
    </row>
    <row r="176" spans="22:27">
      <c r="V176" t="s">
        <v>306</v>
      </c>
      <c r="W176" s="33"/>
      <c r="Y176" s="33"/>
      <c r="AA176" s="33"/>
    </row>
    <row r="177" spans="22:27">
      <c r="V177" t="s">
        <v>303</v>
      </c>
      <c r="W177" s="33">
        <f>+$F$32*W67</f>
        <v>0</v>
      </c>
      <c r="Y177" s="33">
        <f>+$F$32*Y67</f>
        <v>0</v>
      </c>
      <c r="AA177" s="33">
        <f>+$F$32*AA67</f>
        <v>0</v>
      </c>
    </row>
    <row r="179" spans="22:27">
      <c r="W179" s="1">
        <f>W165+W170+W175</f>
        <v>0</v>
      </c>
      <c r="Y179" s="13">
        <f>Y165+Y170+Y175</f>
        <v>0</v>
      </c>
      <c r="AA179" s="14">
        <f>AA165+AA170+AA175</f>
        <v>0</v>
      </c>
    </row>
    <row r="180" spans="22:27">
      <c r="Y180" s="13">
        <f t="shared" ref="Y180:AA181" si="31">Y166+Y171+Y176</f>
        <v>0</v>
      </c>
      <c r="AA180" s="13">
        <f t="shared" si="31"/>
        <v>0</v>
      </c>
    </row>
    <row r="181" spans="22:27">
      <c r="Y181" s="13">
        <f t="shared" si="31"/>
        <v>0</v>
      </c>
      <c r="AA181" s="13">
        <f t="shared" si="31"/>
        <v>0</v>
      </c>
    </row>
    <row r="183" spans="22:27">
      <c r="V183" t="s">
        <v>307</v>
      </c>
      <c r="W183" s="1">
        <f>((($H$66*(1+$K$71)+1)/$J$95)+(($K$44*(1+(1/(1+$K$71))))/$J$101)/$J$95)*W19</f>
        <v>0</v>
      </c>
      <c r="Y183" s="1">
        <f>((($H$66*(1+$K$71)+1)/$J$95)+(($K$44*(1+(1/(1+$K$71))))/$J$101)/$J$95)*Y19</f>
        <v>0</v>
      </c>
      <c r="AA183" s="1">
        <f>((($H$66*(1+$K$71)+1)/$J$95)+(($K$44*(1+(1/(1+$K$71))))/$J$101)/$J$95)*AA19</f>
        <v>0</v>
      </c>
    </row>
    <row r="184" spans="22:27">
      <c r="V184" t="s">
        <v>308</v>
      </c>
      <c r="W184" s="86">
        <f>+$F$32*((($H$66*(1+$K$71)+1)/$J$95)+(($K$44*(1+(1/(1+$K$71))))/$J$101)/$J$95)*W19</f>
        <v>0</v>
      </c>
      <c r="Y184" s="86">
        <f>+$F$32*((($H$66*(1+$K$71)+1)/$J$95)+(($K$44*(1+(1/(1+$K$71))))/$J$101)/$J$95)*Y19</f>
        <v>0</v>
      </c>
      <c r="AA184" s="86">
        <f>+$F$32*((($H$66*(1+$K$71)+1)/$J$95)+(($K$44*(1+(1/(1+$K$71))))/$J$101)/$J$95)*AA19</f>
        <v>0</v>
      </c>
    </row>
    <row r="186" spans="22:27">
      <c r="V186" t="s">
        <v>309</v>
      </c>
      <c r="W186" s="86">
        <f>$I$64*((($H$66*(1+$K$71)+1)/$J$95)+(($K$44*(1+(1/(1+$K$71))))/$J$101)/$J$95)*W19</f>
        <v>0</v>
      </c>
      <c r="Y186" s="86">
        <f>$I$64*((($H$66*(1+$K$71)+1)/$J$95)+(($K$44*(1+(1/(1+$K$71))))/$J$101)/$J$95)*Y19</f>
        <v>0</v>
      </c>
      <c r="AA186" s="86">
        <f>$I$64*((($H$66*(1+$K$71)+1)/$J$95)+(($K$44*(1+(1/(1+$K$71))))/$J$101)/$J$95)*AA19</f>
        <v>0</v>
      </c>
    </row>
    <row r="187" spans="22:27">
      <c r="V187" t="s">
        <v>310</v>
      </c>
      <c r="W187" s="86">
        <f>+$H$66*W19</f>
        <v>0</v>
      </c>
      <c r="Y187" s="86">
        <f>+$H$66*Y19</f>
        <v>0</v>
      </c>
      <c r="AA187" s="86">
        <f>+$H$66*AA19</f>
        <v>0</v>
      </c>
    </row>
    <row r="188" spans="22:27">
      <c r="V188" t="s">
        <v>311</v>
      </c>
      <c r="W188" s="86">
        <f>($I$64*((($H$66*(1+$K$71)+1)/$J$95)+(($K$44*(1+(1/(1+$K$71))))/$J$101)/$J$95)++$H$66)*W19</f>
        <v>0</v>
      </c>
      <c r="Y188" s="86">
        <f>($I$64*((($H$66*(1+$K$71)+1)/$J$95)+(($K$44*(1+(1/(1+$K$71))))/$J$101)/$J$95)++$H$66)*Y19</f>
        <v>0</v>
      </c>
      <c r="AA188" s="86">
        <f>($I$64*((($H$66*(1+$K$71)+1)/$J$95)+(($K$44*(1+(1/(1+$K$71))))/$J$101)/$J$95)++$H$66)*AA19</f>
        <v>0</v>
      </c>
    </row>
    <row r="191" spans="22:27">
      <c r="V191" s="87" t="s">
        <v>315</v>
      </c>
      <c r="W191" s="86">
        <f>$F$26*W19</f>
        <v>0</v>
      </c>
      <c r="Y191" s="86">
        <f>$F$26*Y19</f>
        <v>0</v>
      </c>
      <c r="AA191" s="86">
        <f>$F$26*AA19</f>
        <v>0</v>
      </c>
    </row>
    <row r="192" spans="22:27">
      <c r="V192" s="87" t="s">
        <v>312</v>
      </c>
      <c r="W192" s="86">
        <f>-$F$26*(($I$64*((($H$66*(1+$K$71)+1)/$J$95)+(($K$44*(1+(1/(1+$K$71))))/$J$101)/$J$95)++$H$66)*W19)</f>
        <v>0</v>
      </c>
      <c r="Y192" s="86">
        <f>-$F$26*(($I$64*((($H$66*(1+$K$71)+1)/$J$95)+(($K$44*(1+(1/(1+$K$71))))/$J$101)/$J$95)++$H$66)*Y19)</f>
        <v>0</v>
      </c>
      <c r="AA192" s="86">
        <f>-$F$26*(($I$64*((($H$66*(1+$K$71)+1)/$J$95)+(($K$44*(1+(1/(1+$K$71))))/$J$101)/$J$95)++$H$66)*AA19)</f>
        <v>0</v>
      </c>
    </row>
    <row r="193" spans="22:29">
      <c r="V193" s="87"/>
      <c r="W193" s="88">
        <f>$F$26*W19-$F$26*(($I$64*((($H$66*(1+$K$71)+1)/$J$95)+(($K$44*(1+(1/(1+$K$71))))/$J$101)/$J$95)++$H$66)*W19)</f>
        <v>0</v>
      </c>
      <c r="Y193" s="88">
        <f>$F$26*Y19-$F$26*(($I$64*((($H$66*(1+$K$71)+1)/$J$95)+(($K$44*(1+(1/(1+$K$71))))/$J$101)/$J$95)++$H$66)*Y19)</f>
        <v>0</v>
      </c>
      <c r="AA193" s="88">
        <f>$F$26*AA19-$F$26*(($I$64*((($H$66*(1+$K$71)+1)/$J$95)+(($K$44*(1+(1/(1+$K$71))))/$J$101)/$J$95)++$H$66)*AA19)</f>
        <v>0</v>
      </c>
    </row>
    <row r="194" spans="22:29">
      <c r="V194" s="87"/>
      <c r="W194" s="88">
        <f>$F$26*W19-$F$26*(($I$64*((($H$66*(1+$K$71)+1)/$J$95)+(($K$44*(1+(1/(1+$K$71))))/$J$101)/$J$95)++$H$66)*W19)</f>
        <v>0</v>
      </c>
      <c r="Y194" s="88">
        <f>$F$26*Y19-$F$26*(($I$64*((($H$66*(1+$K$71)+1)/$J$95)+(($K$44*(1+(1/(1+$K$71))))/$J$101)/$J$95)++$H$66)*Y19)</f>
        <v>0</v>
      </c>
      <c r="AA194" s="88"/>
    </row>
    <row r="196" spans="22:29">
      <c r="W196" s="88">
        <f>($F$26-$F$26*(($I$64*((($H$66*(1+$K$71)+1)/$J$95)+(($K$44*(1+(1/(1+$K$71))))/$J$101)/$J$95)++$H$66)))*W19</f>
        <v>0</v>
      </c>
      <c r="Y196" s="88">
        <f>($F$26-$F$26*(($I$64*((($H$66*(1+$K$71)+1)/$J$95)+(($K$44*(1+(1/(1+$K$71))))/$J$101)/$J$95)++$H$66)))*Y19</f>
        <v>0</v>
      </c>
      <c r="AA196" s="88">
        <f>($F$26-$F$26*(($I$64*((($H$66*(1+$K$71)+1)/$J$95)+(($K$44*(1+(1/(1+$K$71))))/$J$101)/$J$95)++$H$66)))*AA19</f>
        <v>0</v>
      </c>
      <c r="AC196" t="s">
        <v>313</v>
      </c>
    </row>
    <row r="199" spans="22:29">
      <c r="V199" s="87" t="s">
        <v>316</v>
      </c>
      <c r="W199" s="86">
        <f>+$I$32*W19</f>
        <v>0</v>
      </c>
      <c r="Y199" s="86">
        <f>+$I$32*Y19</f>
        <v>0</v>
      </c>
      <c r="AA199" s="86">
        <f>+$I$32*AA19</f>
        <v>0</v>
      </c>
    </row>
    <row r="200" spans="22:29">
      <c r="V200" s="87" t="s">
        <v>317</v>
      </c>
      <c r="W200" s="86">
        <f>-$I$32*(($I$64*((($H$66*(1+$K$71)+1)/$J$95)+(($K$44*(1+(1/(1+$K$71))))/$J$101)/$J$95)++$H$66)*W19)</f>
        <v>0</v>
      </c>
      <c r="Y200" s="86">
        <f>-$I$32*(($I$64*((($H$66*(1+$K$71)+1)/$J$95)+(($K$44*(1+(1/(1+$K$71))))/$J$101)/$J$95)++$H$66)*Y19)</f>
        <v>0</v>
      </c>
      <c r="AA200" s="86">
        <f>-$I$32*(($I$64*((($H$66*(1+$K$71)+1)/$J$95)+(($K$44*(1+(1/(1+$K$71))))/$J$101)/$J$95)++$H$66)*AA19)</f>
        <v>0</v>
      </c>
    </row>
    <row r="201" spans="22:29">
      <c r="V201" s="87" t="s">
        <v>318</v>
      </c>
      <c r="W201" s="88">
        <f>+$F$32*((($H$66*(1+$K$71)+1)/$J$95)+(($K$44*(1+(1/(1+$K$71))))/$J$101)/$J$95)*W19</f>
        <v>0</v>
      </c>
      <c r="Y201" s="88">
        <f>+$F$32*((($H$66*(1+$K$71)+1)/$J$95)+(($K$44*(1+(1/(1+$K$71))))/$J$101)/$J$95)*Y19</f>
        <v>0</v>
      </c>
      <c r="AA201" s="88">
        <f>+$F$32*((($H$66*(1+$K$71)+1)/$J$95)+(($K$44*(1+(1/(1+$K$71))))/$J$101)/$J$95)*AA19</f>
        <v>0</v>
      </c>
    </row>
    <row r="202" spans="22:29">
      <c r="V202" s="87"/>
      <c r="W202" s="88">
        <f>+$I$32*W19-$I$32*(($I$64*((($H$66*(1+$K$71)+1)/$J$95)+(($K$44*(1+(1/(1+$K$71))))/$J$101)/$J$95)++$H$66)*W19)+$F$32*((($H$66*(1+$K$71)+1)/$J$95)+(($K$44*(1+(1/(1+$K$71))))/$J$101)/$J$95)*W19</f>
        <v>0</v>
      </c>
      <c r="Y202" s="88">
        <f>+$I$32*Y19-$I$32*(($I$64*((($H$66*(1+$K$71)+1)/$J$95)+(($K$44*(1+(1/(1+$K$71))))/$J$101)/$J$95)++$H$66)*Y19)+$F$32*((($H$66*(1+$K$71)+1)/$J$95)+(($K$44*(1+(1/(1+$K$71))))/$J$101)/$J$95)*Y19</f>
        <v>0</v>
      </c>
      <c r="AA202" s="88">
        <f>+$I$32*AA19-$I$32*(($I$64*((($H$66*(1+$K$71)+1)/$J$95)+(($K$44*(1+(1/(1+$K$71))))/$J$101)/$J$95)++$H$66)*AA19)+$F$32*((($H$66*(1+$K$71)+1)/$J$95)+(($K$44*(1+(1/(1+$K$71))))/$J$101)/$J$95)*AA19</f>
        <v>0</v>
      </c>
    </row>
    <row r="204" spans="22:29">
      <c r="W204" s="88">
        <f>(+$I$32-$I$32*(($I$64*((($H$66*(1+$K$71)+1)/$J$95)+(($K$44*(1+(1/(1+$K$71))))/$J$101)/$J$95)++$H$66))+$F$32*((($H$66*(1+$K$71)+1)/$J$95)+(($K$44*(1+(1/(1+$K$71))))/$J$101)/$J$95))*W19</f>
        <v>0</v>
      </c>
      <c r="Y204" s="88">
        <f>(+$I$32-$I$32*(($I$64*((($H$66*(1+$K$71)+1)/$J$95)+(($K$44*(1+(1/(1+$K$71))))/$J$101)/$J$95)++$H$66))+$F$32*((($H$66*(1+$K$71)+1)/$J$95)+(($K$44*(1+(1/(1+$K$71))))/$J$101)/$J$95))*Y19</f>
        <v>0</v>
      </c>
      <c r="AA204" s="88">
        <f>(+$I$32-$I$32*(($I$64*((($H$66*(1+$K$71)+1)/$J$95)+(($K$44*(1+(1/(1+$K$71))))/$J$101)/$J$95)++$H$66))+$F$32*((($H$66*(1+$K$71)+1)/$J$95)+(($K$44*(1+(1/(1+$K$71))))/$J$101)/$J$95))*AA19</f>
        <v>0</v>
      </c>
      <c r="AC204" t="s">
        <v>314</v>
      </c>
    </row>
    <row r="206" spans="22:29">
      <c r="W206" s="88">
        <f>($F$26-$F$26*(($I$64*((($H$66*(1+$K$71)+1)/$J$95)+(($K$44*(1+(1/(1+$K$71))))/$J$101)/$J$95)++$H$66)))*W19-(+$I$32-$I$32*(($I$64*((($H$66*(1+$K$71)+1)/$J$95)+(($K$44*(1+(1/(1+$K$71))))/$J$101)/$J$95)++$H$66))+$F$32*((($H$66*(1+$K$71)+1)/$J$95)+(($K$44*(1+(1/(1+$K$71))))/$J$101)/$J$95))*W19</f>
        <v>0</v>
      </c>
      <c r="Y206" s="88">
        <f>($F$26-$F$26*(($I$64*((($H$66*(1+$K$71)+1)/$J$95)+(($K$44*(1+(1/(1+$K$71))))/$J$101)/$J$95)++$H$66)))*Y19-(+$I$32-$I$32*(($I$64*((($H$66*(1+$K$71)+1)/$J$95)+(($K$44*(1+(1/(1+$K$71))))/$J$101)/$J$95)++$H$66))+$F$32*((($H$66*(1+$K$71)+1)/$J$95)+(($K$44*(1+(1/(1+$K$71))))/$J$101)/$J$95))*Y19</f>
        <v>0</v>
      </c>
      <c r="AA206" s="88">
        <f>($F$26-$F$26*(($I$64*((($H$66*(1+$K$71)+1)/$J$95)+(($K$44*(1+(1/(1+$K$71))))/$J$101)/$J$95)++$H$66)))*AA19-(+$I$32-$I$32*(($I$64*((($H$66*(1+$K$71)+1)/$J$95)+(($K$44*(1+(1/(1+$K$71))))/$J$101)/$J$95)++$H$66))+$F$32*((($H$66*(1+$K$71)+1)/$J$95)+(($K$44*(1+(1/(1+$K$71))))/$J$101)/$J$95))*AA19</f>
        <v>0</v>
      </c>
      <c r="AC206" t="s">
        <v>319</v>
      </c>
    </row>
    <row r="207" spans="22:29">
      <c r="W207" s="88">
        <f>(($F$26-$F$26*(($I$64*((($H$66*(1+$K$71)+1)/$J$95)+(($K$44*(1+(1/(1+$K$71))))/$J$101)/$J$95)++$H$66)))-(+$I$32-$I$32*(($I$64*((($H$66*(1+$K$71)+1)/$J$95)+(($K$44*(1+(1/(1+$K$71))))/$J$101)/$J$95)++$H$66))+$F$32*((($H$66*(1+$K$71)+1)/$J$95)+(($K$44*(1+(1/(1+$K$71))))/$J$101)/$J$95)))*W19</f>
        <v>0</v>
      </c>
      <c r="Y207" s="88">
        <f>(($F$26-$F$26*(($I$64*((($H$66*(1+$K$71)+1)/$J$95)+(($K$44*(1+(1/(1+$K$71))))/$J$101)/$J$95)++$H$66)))-(+$I$32-$I$32*(($I$64*((($H$66*(1+$K$71)+1)/$J$95)+(($K$44*(1+(1/(1+$K$71))))/$J$101)/$J$95)++$H$66))+$F$32*((($H$66*(1+$K$71)+1)/$J$95)+(($K$44*(1+(1/(1+$K$71))))/$J$101)/$J$95)))*Y19</f>
        <v>0</v>
      </c>
      <c r="AA207" s="88">
        <f>(($F$26-$F$26*(($I$64*((($H$66*(1+$K$71)+1)/$J$95)+(($K$44*(1+(1/(1+$K$71))))/$J$101)/$J$95)++$H$66)))-(+$I$32-$I$32*(($I$64*((($H$66*(1+$K$71)+1)/$J$95)+(($K$44*(1+(1/(1+$K$71))))/$J$101)/$J$95)++$H$66))+$F$32*((($H$66*(1+$K$71)+1)/$J$95)+(($K$44*(1+(1/(1+$K$71))))/$J$101)/$J$95)))*AA19</f>
        <v>0</v>
      </c>
      <c r="AC207" t="s">
        <v>320</v>
      </c>
    </row>
    <row r="209" spans="22:27">
      <c r="W209">
        <f>(($F$26-$F$26*(($I$64*((($H$66*(1+$K$71)+1)/$J$95)+(($K$44*(1+(1/(1+$K$71))))/$J$101)/$J$95)++$H$66)))-(+$I$32-$I$32*(($I$64*((($H$66*(1+$K$71)+1)/$J$95)+(($K$44*(1+(1/(1+$K$71))))/$J$101)/$J$95)++$H$66))+$F$32*((($H$66*(1+$K$71)+1)/$J$95)+(($K$44*(1+(1/(1+$K$71))))/$J$101)/$J$95)))^(-1)</f>
        <v>1.1523937701405411</v>
      </c>
      <c r="Y209">
        <f>(($F$26-$F$26*(($I$64*((($H$66*(1+$K$71)+1)/$J$95)+(($K$44*(1+(1/(1+$K$71))))/$J$101)/$J$95)++$H$66)))-(+$I$32-$I$32*(($I$64*((($H$66*(1+$K$71)+1)/$J$95)+(($K$44*(1+(1/(1+$K$71))))/$J$101)/$J$95)++$H$66))+$F$32*((($H$66*(1+$K$71)+1)/$J$95)+(($K$44*(1+(1/(1+$K$71))))/$J$101)/$J$95)))^(-1)</f>
        <v>1.1523937701405411</v>
      </c>
      <c r="AA209">
        <f>(($F$26-$F$26*(($I$64*((($H$66*(1+$K$71)+1)/$J$95)+(($K$44*(1+(1/(1+$K$71))))/$J$101)/$J$95)++$H$66)))-(+$I$32-$I$32*(($I$64*((($H$66*(1+$K$71)+1)/$J$95)+(($K$44*(1+(1/(1+$K$71))))/$J$101)/$J$95)++$H$66))+$F$32*((($H$66*(1+$K$71)+1)/$J$95)+(($K$44*(1+(1/(1+$K$71))))/$J$101)/$J$95)))^(-1)</f>
        <v>1.1523937701405411</v>
      </c>
    </row>
    <row r="211" spans="22:27">
      <c r="W211">
        <f>(($F$26-$F$26*(($I$64*((($H$66*(1+$K$71)+1)/$J$95)+(($K$44*(1+(1/(1+$K$71))))/$J$101)/$J$95)++$H$66)))-(+$I$32-$I$32*(($I$64*((($H$66*(1+$K$71)+1)/$J$95)+(($K$44*(1+(1/(1+$K$71))))/$J$101)/$J$95)++$H$66))+$F$32*((($H$66*(1+$K$71)+1)/$J$95)+(($K$44*(1+(1/(1+$K$71))))/$J$101)/$J$95)))</f>
        <v>0.86775894308943036</v>
      </c>
    </row>
    <row r="213" spans="22:27">
      <c r="V213" t="s">
        <v>323</v>
      </c>
      <c r="W213" s="92">
        <f>$F$26-$I$32</f>
        <v>1.44</v>
      </c>
    </row>
  </sheetData>
  <sheetProtection algorithmName="SHA-512" hashValue="DLe477ZP6izyt9TZA4g6/2Lo6bilmjTfekB62nvm5PsD4tcZF+/wHpfwM3quogD3c7efvBl2cFypTEsVxIfJog==" saltValue="rHaZj+iwXc00jHh3drhHqA==" spinCount="100000" sheet="1" objects="1" scenarios="1"/>
  <hyperlinks>
    <hyperlink ref="AE66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Equation.DSMT4" shapeId="1155" r:id="rId5">
          <objectPr defaultSize="0" autoPict="0" r:id="rId6">
            <anchor moveWithCells="1">
              <from>
                <xdr:col>4</xdr:col>
                <xdr:colOff>314325</xdr:colOff>
                <xdr:row>13</xdr:row>
                <xdr:rowOff>19050</xdr:rowOff>
              </from>
              <to>
                <xdr:col>4</xdr:col>
                <xdr:colOff>466725</xdr:colOff>
                <xdr:row>13</xdr:row>
                <xdr:rowOff>161925</xdr:rowOff>
              </to>
            </anchor>
          </objectPr>
        </oleObject>
      </mc:Choice>
      <mc:Fallback>
        <oleObject progId="Equation.DSMT4" shapeId="1155" r:id="rId5"/>
      </mc:Fallback>
    </mc:AlternateContent>
    <mc:AlternateContent xmlns:mc="http://schemas.openxmlformats.org/markup-compatibility/2006">
      <mc:Choice Requires="x14">
        <oleObject progId="Equation.DSMT4" shapeId="1183" r:id="rId7">
          <objectPr defaultSize="0" autoPict="0" r:id="rId8">
            <anchor moveWithCells="1">
              <from>
                <xdr:col>4</xdr:col>
                <xdr:colOff>19050</xdr:colOff>
                <xdr:row>5</xdr:row>
                <xdr:rowOff>0</xdr:rowOff>
              </from>
              <to>
                <xdr:col>13</xdr:col>
                <xdr:colOff>104775</xdr:colOff>
                <xdr:row>6</xdr:row>
                <xdr:rowOff>133350</xdr:rowOff>
              </to>
            </anchor>
          </objectPr>
        </oleObject>
      </mc:Choice>
      <mc:Fallback>
        <oleObject progId="Equation.DSMT4" shapeId="1183" r:id="rId7"/>
      </mc:Fallback>
    </mc:AlternateContent>
    <mc:AlternateContent xmlns:mc="http://schemas.openxmlformats.org/markup-compatibility/2006">
      <mc:Choice Requires="x14">
        <oleObject progId="Equation.DSMT4" shapeId="1184" r:id="rId9">
          <objectPr defaultSize="0" r:id="rId10">
            <anchor moveWithCells="1">
              <from>
                <xdr:col>9</xdr:col>
                <xdr:colOff>342900</xdr:colOff>
                <xdr:row>7</xdr:row>
                <xdr:rowOff>0</xdr:rowOff>
              </from>
              <to>
                <xdr:col>9</xdr:col>
                <xdr:colOff>581025</xdr:colOff>
                <xdr:row>8</xdr:row>
                <xdr:rowOff>0</xdr:rowOff>
              </to>
            </anchor>
          </objectPr>
        </oleObject>
      </mc:Choice>
      <mc:Fallback>
        <oleObject progId="Equation.DSMT4" shapeId="1184" r:id="rId9"/>
      </mc:Fallback>
    </mc:AlternateContent>
    <mc:AlternateContent xmlns:mc="http://schemas.openxmlformats.org/markup-compatibility/2006">
      <mc:Choice Requires="x14">
        <oleObject progId="Equation.DSMT4" shapeId="1185" r:id="rId11">
          <objectPr defaultSize="0" autoPict="0" r:id="rId12">
            <anchor moveWithCells="1">
              <from>
                <xdr:col>11</xdr:col>
                <xdr:colOff>171450</xdr:colOff>
                <xdr:row>7</xdr:row>
                <xdr:rowOff>9525</xdr:rowOff>
              </from>
              <to>
                <xdr:col>12</xdr:col>
                <xdr:colOff>561975</xdr:colOff>
                <xdr:row>8</xdr:row>
                <xdr:rowOff>0</xdr:rowOff>
              </to>
            </anchor>
          </objectPr>
        </oleObject>
      </mc:Choice>
      <mc:Fallback>
        <oleObject progId="Equation.DSMT4" shapeId="1185" r:id="rId11"/>
      </mc:Fallback>
    </mc:AlternateContent>
    <mc:AlternateContent xmlns:mc="http://schemas.openxmlformats.org/markup-compatibility/2006">
      <mc:Choice Requires="x14">
        <oleObject progId="Equation.DSMT4" shapeId="1186" r:id="rId13">
          <objectPr defaultSize="0" autoPict="0" r:id="rId14">
            <anchor moveWithCells="1">
              <from>
                <xdr:col>13</xdr:col>
                <xdr:colOff>257175</xdr:colOff>
                <xdr:row>5</xdr:row>
                <xdr:rowOff>9525</xdr:rowOff>
              </from>
              <to>
                <xdr:col>16</xdr:col>
                <xdr:colOff>533400</xdr:colOff>
                <xdr:row>6</xdr:row>
                <xdr:rowOff>133350</xdr:rowOff>
              </to>
            </anchor>
          </objectPr>
        </oleObject>
      </mc:Choice>
      <mc:Fallback>
        <oleObject progId="Equation.DSMT4" shapeId="1186" r:id="rId13"/>
      </mc:Fallback>
    </mc:AlternateContent>
    <mc:AlternateContent xmlns:mc="http://schemas.openxmlformats.org/markup-compatibility/2006">
      <mc:Choice Requires="x14">
        <oleObject progId="Equation.DSMT4" shapeId="1188" r:id="rId15">
          <objectPr defaultSize="0" autoPict="0" r:id="rId16">
            <anchor moveWithCells="1">
              <from>
                <xdr:col>4</xdr:col>
                <xdr:colOff>142875</xdr:colOff>
                <xdr:row>16</xdr:row>
                <xdr:rowOff>38100</xdr:rowOff>
              </from>
              <to>
                <xdr:col>7</xdr:col>
                <xdr:colOff>390525</xdr:colOff>
                <xdr:row>17</xdr:row>
                <xdr:rowOff>133350</xdr:rowOff>
              </to>
            </anchor>
          </objectPr>
        </oleObject>
      </mc:Choice>
      <mc:Fallback>
        <oleObject progId="Equation.DSMT4" shapeId="1188" r:id="rId15"/>
      </mc:Fallback>
    </mc:AlternateContent>
    <mc:AlternateContent xmlns:mc="http://schemas.openxmlformats.org/markup-compatibility/2006">
      <mc:Choice Requires="x14">
        <oleObject progId="Equation.DSMT4" shapeId="1189" r:id="rId17">
          <objectPr defaultSize="0" autoPict="0" r:id="rId18">
            <anchor moveWithCells="1">
              <from>
                <xdr:col>4</xdr:col>
                <xdr:colOff>409575</xdr:colOff>
                <xdr:row>18</xdr:row>
                <xdr:rowOff>19050</xdr:rowOff>
              </from>
              <to>
                <xdr:col>4</xdr:col>
                <xdr:colOff>571500</xdr:colOff>
                <xdr:row>18</xdr:row>
                <xdr:rowOff>180975</xdr:rowOff>
              </to>
            </anchor>
          </objectPr>
        </oleObject>
      </mc:Choice>
      <mc:Fallback>
        <oleObject progId="Equation.DSMT4" shapeId="1189" r:id="rId17"/>
      </mc:Fallback>
    </mc:AlternateContent>
    <mc:AlternateContent xmlns:mc="http://schemas.openxmlformats.org/markup-compatibility/2006">
      <mc:Choice Requires="x14">
        <oleObject progId="Equation.DSMT4" shapeId="1190" r:id="rId19">
          <objectPr defaultSize="0" autoPict="0" r:id="rId20">
            <anchor moveWithCells="1">
              <from>
                <xdr:col>7</xdr:col>
                <xdr:colOff>352425</xdr:colOff>
                <xdr:row>18</xdr:row>
                <xdr:rowOff>9525</xdr:rowOff>
              </from>
              <to>
                <xdr:col>7</xdr:col>
                <xdr:colOff>542925</xdr:colOff>
                <xdr:row>19</xdr:row>
                <xdr:rowOff>0</xdr:rowOff>
              </to>
            </anchor>
          </objectPr>
        </oleObject>
      </mc:Choice>
      <mc:Fallback>
        <oleObject progId="Equation.DSMT4" shapeId="1190" r:id="rId19"/>
      </mc:Fallback>
    </mc:AlternateContent>
    <mc:AlternateContent xmlns:mc="http://schemas.openxmlformats.org/markup-compatibility/2006">
      <mc:Choice Requires="x14">
        <oleObject progId="Equation.DSMT4" shapeId="1191" r:id="rId21">
          <objectPr defaultSize="0" autoPict="0" r:id="rId22">
            <anchor moveWithCells="1">
              <from>
                <xdr:col>4</xdr:col>
                <xdr:colOff>180975</xdr:colOff>
                <xdr:row>49</xdr:row>
                <xdr:rowOff>66675</xdr:rowOff>
              </from>
              <to>
                <xdr:col>10</xdr:col>
                <xdr:colOff>523875</xdr:colOff>
                <xdr:row>50</xdr:row>
                <xdr:rowOff>161925</xdr:rowOff>
              </to>
            </anchor>
          </objectPr>
        </oleObject>
      </mc:Choice>
      <mc:Fallback>
        <oleObject progId="Equation.DSMT4" shapeId="1191" r:id="rId21"/>
      </mc:Fallback>
    </mc:AlternateContent>
    <mc:AlternateContent xmlns:mc="http://schemas.openxmlformats.org/markup-compatibility/2006">
      <mc:Choice Requires="x14">
        <oleObject progId="Equation.DSMT4" shapeId="1192" r:id="rId23">
          <objectPr defaultSize="0" autoPict="0" r:id="rId24">
            <anchor moveWithCells="1">
              <from>
                <xdr:col>9</xdr:col>
                <xdr:colOff>266700</xdr:colOff>
                <xdr:row>51</xdr:row>
                <xdr:rowOff>9525</xdr:rowOff>
              </from>
              <to>
                <xdr:col>9</xdr:col>
                <xdr:colOff>457200</xdr:colOff>
                <xdr:row>52</xdr:row>
                <xdr:rowOff>9525</xdr:rowOff>
              </to>
            </anchor>
          </objectPr>
        </oleObject>
      </mc:Choice>
      <mc:Fallback>
        <oleObject progId="Equation.DSMT4" shapeId="1192" r:id="rId23"/>
      </mc:Fallback>
    </mc:AlternateContent>
    <mc:AlternateContent xmlns:mc="http://schemas.openxmlformats.org/markup-compatibility/2006">
      <mc:Choice Requires="x14">
        <oleObject progId="Equation.DSMT4" shapeId="1193" r:id="rId25">
          <objectPr defaultSize="0" autoPict="0" r:id="rId26">
            <anchor moveWithCells="1">
              <from>
                <xdr:col>3</xdr:col>
                <xdr:colOff>581025</xdr:colOff>
                <xdr:row>60</xdr:row>
                <xdr:rowOff>85725</xdr:rowOff>
              </from>
              <to>
                <xdr:col>12</xdr:col>
                <xdr:colOff>438150</xdr:colOff>
                <xdr:row>62</xdr:row>
                <xdr:rowOff>0</xdr:rowOff>
              </to>
            </anchor>
          </objectPr>
        </oleObject>
      </mc:Choice>
      <mc:Fallback>
        <oleObject progId="Equation.DSMT4" shapeId="1193" r:id="rId25"/>
      </mc:Fallback>
    </mc:AlternateContent>
    <mc:AlternateContent xmlns:mc="http://schemas.openxmlformats.org/markup-compatibility/2006">
      <mc:Choice Requires="x14">
        <oleObject progId="Equation.DSMT4" shapeId="1194" r:id="rId27">
          <objectPr defaultSize="0" autoPict="0" r:id="rId28">
            <anchor moveWithCells="1">
              <from>
                <xdr:col>4</xdr:col>
                <xdr:colOff>95250</xdr:colOff>
                <xdr:row>65</xdr:row>
                <xdr:rowOff>9525</xdr:rowOff>
              </from>
              <to>
                <xdr:col>6</xdr:col>
                <xdr:colOff>257175</xdr:colOff>
                <xdr:row>66</xdr:row>
                <xdr:rowOff>28575</xdr:rowOff>
              </to>
            </anchor>
          </objectPr>
        </oleObject>
      </mc:Choice>
      <mc:Fallback>
        <oleObject progId="Equation.DSMT4" shapeId="1194" r:id="rId27"/>
      </mc:Fallback>
    </mc:AlternateContent>
    <mc:AlternateContent xmlns:mc="http://schemas.openxmlformats.org/markup-compatibility/2006">
      <mc:Choice Requires="x14">
        <oleObject progId="Equation.DSMT4" shapeId="1196" r:id="rId29">
          <objectPr defaultSize="0" autoPict="0" r:id="rId30">
            <anchor moveWithCells="1">
              <from>
                <xdr:col>4</xdr:col>
                <xdr:colOff>514350</xdr:colOff>
                <xdr:row>68</xdr:row>
                <xdr:rowOff>9525</xdr:rowOff>
              </from>
              <to>
                <xdr:col>9</xdr:col>
                <xdr:colOff>333375</xdr:colOff>
                <xdr:row>69</xdr:row>
                <xdr:rowOff>123825</xdr:rowOff>
              </to>
            </anchor>
          </objectPr>
        </oleObject>
      </mc:Choice>
      <mc:Fallback>
        <oleObject progId="Equation.DSMT4" shapeId="1196" r:id="rId29"/>
      </mc:Fallback>
    </mc:AlternateContent>
    <mc:AlternateContent xmlns:mc="http://schemas.openxmlformats.org/markup-compatibility/2006">
      <mc:Choice Requires="x14">
        <oleObject progId="Equation.DSMT4" shapeId="1197" r:id="rId31">
          <objectPr defaultSize="0" autoPict="0" r:id="rId32">
            <anchor moveWithCells="1">
              <from>
                <xdr:col>7</xdr:col>
                <xdr:colOff>152400</xdr:colOff>
                <xdr:row>70</xdr:row>
                <xdr:rowOff>0</xdr:rowOff>
              </from>
              <to>
                <xdr:col>7</xdr:col>
                <xdr:colOff>542925</xdr:colOff>
                <xdr:row>71</xdr:row>
                <xdr:rowOff>0</xdr:rowOff>
              </to>
            </anchor>
          </objectPr>
        </oleObject>
      </mc:Choice>
      <mc:Fallback>
        <oleObject progId="Equation.DSMT4" shapeId="1197" r:id="rId31"/>
      </mc:Fallback>
    </mc:AlternateContent>
    <mc:AlternateContent xmlns:mc="http://schemas.openxmlformats.org/markup-compatibility/2006">
      <mc:Choice Requires="x14">
        <oleObject progId="Equation.DSMT4" shapeId="1198" r:id="rId33">
          <objectPr defaultSize="0" autoPict="0" r:id="rId34">
            <anchor moveWithCells="1">
              <from>
                <xdr:col>9</xdr:col>
                <xdr:colOff>114300</xdr:colOff>
                <xdr:row>69</xdr:row>
                <xdr:rowOff>171450</xdr:rowOff>
              </from>
              <to>
                <xdr:col>9</xdr:col>
                <xdr:colOff>523875</xdr:colOff>
                <xdr:row>71</xdr:row>
                <xdr:rowOff>9525</xdr:rowOff>
              </to>
            </anchor>
          </objectPr>
        </oleObject>
      </mc:Choice>
      <mc:Fallback>
        <oleObject progId="Equation.DSMT4" shapeId="1198" r:id="rId33"/>
      </mc:Fallback>
    </mc:AlternateContent>
    <mc:AlternateContent xmlns:mc="http://schemas.openxmlformats.org/markup-compatibility/2006">
      <mc:Choice Requires="x14">
        <oleObject progId="Equation.DSMT4" shapeId="1199" r:id="rId35">
          <objectPr defaultSize="0" r:id="rId36">
            <anchor moveWithCells="1">
              <from>
                <xdr:col>4</xdr:col>
                <xdr:colOff>361950</xdr:colOff>
                <xdr:row>69</xdr:row>
                <xdr:rowOff>190500</xdr:rowOff>
              </from>
              <to>
                <xdr:col>4</xdr:col>
                <xdr:colOff>542925</xdr:colOff>
                <xdr:row>70</xdr:row>
                <xdr:rowOff>180975</xdr:rowOff>
              </to>
            </anchor>
          </objectPr>
        </oleObject>
      </mc:Choice>
      <mc:Fallback>
        <oleObject progId="Equation.DSMT4" shapeId="1199" r:id="rId35"/>
      </mc:Fallback>
    </mc:AlternateContent>
    <mc:AlternateContent xmlns:mc="http://schemas.openxmlformats.org/markup-compatibility/2006">
      <mc:Choice Requires="x14">
        <oleObject progId="Equation.DSMT4" shapeId="1200" r:id="rId37">
          <objectPr defaultSize="0" autoPict="0" r:id="rId38">
            <anchor moveWithCells="1">
              <from>
                <xdr:col>9</xdr:col>
                <xdr:colOff>28575</xdr:colOff>
                <xdr:row>68</xdr:row>
                <xdr:rowOff>9525</xdr:rowOff>
              </from>
              <to>
                <xdr:col>10</xdr:col>
                <xdr:colOff>152400</xdr:colOff>
                <xdr:row>69</xdr:row>
                <xdr:rowOff>104775</xdr:rowOff>
              </to>
            </anchor>
          </objectPr>
        </oleObject>
      </mc:Choice>
      <mc:Fallback>
        <oleObject progId="Equation.DSMT4" shapeId="1200" r:id="rId37"/>
      </mc:Fallback>
    </mc:AlternateContent>
    <mc:AlternateContent xmlns:mc="http://schemas.openxmlformats.org/markup-compatibility/2006">
      <mc:Choice Requires="x14">
        <oleObject progId="Equation.DSMT4" shapeId="1201" r:id="rId39">
          <objectPr defaultSize="0" autoPict="0" r:id="rId40">
            <anchor moveWithCells="1">
              <from>
                <xdr:col>4</xdr:col>
                <xdr:colOff>152400</xdr:colOff>
                <xdr:row>73</xdr:row>
                <xdr:rowOff>38100</xdr:rowOff>
              </from>
              <to>
                <xdr:col>9</xdr:col>
                <xdr:colOff>123825</xdr:colOff>
                <xdr:row>74</xdr:row>
                <xdr:rowOff>142875</xdr:rowOff>
              </to>
            </anchor>
          </objectPr>
        </oleObject>
      </mc:Choice>
      <mc:Fallback>
        <oleObject progId="Equation.DSMT4" shapeId="1201" r:id="rId39"/>
      </mc:Fallback>
    </mc:AlternateContent>
    <mc:AlternateContent xmlns:mc="http://schemas.openxmlformats.org/markup-compatibility/2006">
      <mc:Choice Requires="x14">
        <oleObject progId="Equation.DSMT4" shapeId="1203" r:id="rId41">
          <objectPr defaultSize="0" r:id="rId42">
            <anchor moveWithCells="1">
              <from>
                <xdr:col>4</xdr:col>
                <xdr:colOff>38100</xdr:colOff>
                <xdr:row>93</xdr:row>
                <xdr:rowOff>57150</xdr:rowOff>
              </from>
              <to>
                <xdr:col>5</xdr:col>
                <xdr:colOff>342900</xdr:colOff>
                <xdr:row>95</xdr:row>
                <xdr:rowOff>95250</xdr:rowOff>
              </to>
            </anchor>
          </objectPr>
        </oleObject>
      </mc:Choice>
      <mc:Fallback>
        <oleObject progId="Equation.DSMT4" shapeId="1203" r:id="rId41"/>
      </mc:Fallback>
    </mc:AlternateContent>
    <mc:AlternateContent xmlns:mc="http://schemas.openxmlformats.org/markup-compatibility/2006">
      <mc:Choice Requires="x14">
        <oleObject progId="Equation.DSMT4" shapeId="1205" r:id="rId43">
          <objectPr defaultSize="0" autoPict="0" r:id="rId44">
            <anchor moveWithCells="1">
              <from>
                <xdr:col>4</xdr:col>
                <xdr:colOff>57150</xdr:colOff>
                <xdr:row>99</xdr:row>
                <xdr:rowOff>28575</xdr:rowOff>
              </from>
              <to>
                <xdr:col>5</xdr:col>
                <xdr:colOff>581025</xdr:colOff>
                <xdr:row>100</xdr:row>
                <xdr:rowOff>161925</xdr:rowOff>
              </to>
            </anchor>
          </objectPr>
        </oleObject>
      </mc:Choice>
      <mc:Fallback>
        <oleObject progId="Equation.DSMT4" shapeId="1205" r:id="rId43"/>
      </mc:Fallback>
    </mc:AlternateContent>
    <mc:AlternateContent xmlns:mc="http://schemas.openxmlformats.org/markup-compatibility/2006">
      <mc:Choice Requires="x14">
        <oleObject progId="Equation.DSMT4" shapeId="1206" r:id="rId45">
          <objectPr defaultSize="0" r:id="rId46">
            <anchor moveWithCells="1">
              <from>
                <xdr:col>4</xdr:col>
                <xdr:colOff>47625</xdr:colOff>
                <xdr:row>101</xdr:row>
                <xdr:rowOff>180975</xdr:rowOff>
              </from>
              <to>
                <xdr:col>6</xdr:col>
                <xdr:colOff>409575</xdr:colOff>
                <xdr:row>103</xdr:row>
                <xdr:rowOff>38100</xdr:rowOff>
              </to>
            </anchor>
          </objectPr>
        </oleObject>
      </mc:Choice>
      <mc:Fallback>
        <oleObject progId="Equation.DSMT4" shapeId="1206" r:id="rId45"/>
      </mc:Fallback>
    </mc:AlternateContent>
    <mc:AlternateContent xmlns:mc="http://schemas.openxmlformats.org/markup-compatibility/2006">
      <mc:Choice Requires="x14">
        <oleObject progId="Equation.DSMT4" shapeId="1207" r:id="rId47">
          <objectPr defaultSize="0" r:id="rId48">
            <anchor moveWithCells="1">
              <from>
                <xdr:col>14</xdr:col>
                <xdr:colOff>238125</xdr:colOff>
                <xdr:row>7</xdr:row>
                <xdr:rowOff>0</xdr:rowOff>
              </from>
              <to>
                <xdr:col>14</xdr:col>
                <xdr:colOff>457200</xdr:colOff>
                <xdr:row>7</xdr:row>
                <xdr:rowOff>219075</xdr:rowOff>
              </to>
            </anchor>
          </objectPr>
        </oleObject>
      </mc:Choice>
      <mc:Fallback>
        <oleObject progId="Equation.DSMT4" shapeId="1207" r:id="rId47"/>
      </mc:Fallback>
    </mc:AlternateContent>
    <mc:AlternateContent xmlns:mc="http://schemas.openxmlformats.org/markup-compatibility/2006">
      <mc:Choice Requires="x14">
        <oleObject progId="Equation.DSMT4" shapeId="1208" r:id="rId49">
          <objectPr defaultSize="0" autoPict="0" r:id="rId50">
            <anchor moveWithCells="1">
              <from>
                <xdr:col>19</xdr:col>
                <xdr:colOff>76200</xdr:colOff>
                <xdr:row>33</xdr:row>
                <xdr:rowOff>133350</xdr:rowOff>
              </from>
              <to>
                <xdr:col>20</xdr:col>
                <xdr:colOff>1647825</xdr:colOff>
                <xdr:row>35</xdr:row>
                <xdr:rowOff>76200</xdr:rowOff>
              </to>
            </anchor>
          </objectPr>
        </oleObject>
      </mc:Choice>
      <mc:Fallback>
        <oleObject progId="Equation.DSMT4" shapeId="1208" r:id="rId49"/>
      </mc:Fallback>
    </mc:AlternateContent>
    <mc:AlternateContent xmlns:mc="http://schemas.openxmlformats.org/markup-compatibility/2006">
      <mc:Choice Requires="x14">
        <oleObject progId="Equation.DSMT4" shapeId="1212" r:id="rId51">
          <objectPr defaultSize="0" r:id="rId52">
            <anchor moveWithCells="1">
              <from>
                <xdr:col>19</xdr:col>
                <xdr:colOff>104775</xdr:colOff>
                <xdr:row>38</xdr:row>
                <xdr:rowOff>95250</xdr:rowOff>
              </from>
              <to>
                <xdr:col>20</xdr:col>
                <xdr:colOff>1619250</xdr:colOff>
                <xdr:row>40</xdr:row>
                <xdr:rowOff>104775</xdr:rowOff>
              </to>
            </anchor>
          </objectPr>
        </oleObject>
      </mc:Choice>
      <mc:Fallback>
        <oleObject progId="Equation.DSMT4" shapeId="1212" r:id="rId51"/>
      </mc:Fallback>
    </mc:AlternateContent>
    <mc:AlternateContent xmlns:mc="http://schemas.openxmlformats.org/markup-compatibility/2006">
      <mc:Choice Requires="x14">
        <oleObject progId="Equation.DSMT4" shapeId="1213" r:id="rId53">
          <objectPr defaultSize="0" autoPict="0" r:id="rId54">
            <anchor moveWithCells="1">
              <from>
                <xdr:col>19</xdr:col>
                <xdr:colOff>133350</xdr:colOff>
                <xdr:row>43</xdr:row>
                <xdr:rowOff>114300</xdr:rowOff>
              </from>
              <to>
                <xdr:col>20</xdr:col>
                <xdr:colOff>1447800</xdr:colOff>
                <xdr:row>47</xdr:row>
                <xdr:rowOff>28575</xdr:rowOff>
              </to>
            </anchor>
          </objectPr>
        </oleObject>
      </mc:Choice>
      <mc:Fallback>
        <oleObject progId="Equation.DSMT4" shapeId="1213" r:id="rId53"/>
      </mc:Fallback>
    </mc:AlternateContent>
    <mc:AlternateContent xmlns:mc="http://schemas.openxmlformats.org/markup-compatibility/2006">
      <mc:Choice Requires="x14">
        <oleObject progId="Equation.DSMT4" shapeId="1214" r:id="rId55">
          <objectPr defaultSize="0" r:id="rId56">
            <anchor moveWithCells="1">
              <from>
                <xdr:col>21</xdr:col>
                <xdr:colOff>142875</xdr:colOff>
                <xdr:row>3</xdr:row>
                <xdr:rowOff>0</xdr:rowOff>
              </from>
              <to>
                <xdr:col>21</xdr:col>
                <xdr:colOff>342900</xdr:colOff>
                <xdr:row>3</xdr:row>
                <xdr:rowOff>209550</xdr:rowOff>
              </to>
            </anchor>
          </objectPr>
        </oleObject>
      </mc:Choice>
      <mc:Fallback>
        <oleObject progId="Equation.DSMT4" shapeId="1214" r:id="rId55"/>
      </mc:Fallback>
    </mc:AlternateContent>
    <mc:AlternateContent xmlns:mc="http://schemas.openxmlformats.org/markup-compatibility/2006">
      <mc:Choice Requires="x14">
        <oleObject progId="Equation.DSMT4" shapeId="1215" r:id="rId57">
          <objectPr defaultSize="0" r:id="rId58">
            <anchor moveWithCells="1">
              <from>
                <xdr:col>19</xdr:col>
                <xdr:colOff>66675</xdr:colOff>
                <xdr:row>49</xdr:row>
                <xdr:rowOff>57150</xdr:rowOff>
              </from>
              <to>
                <xdr:col>20</xdr:col>
                <xdr:colOff>2019300</xdr:colOff>
                <xdr:row>51</xdr:row>
                <xdr:rowOff>85725</xdr:rowOff>
              </to>
            </anchor>
          </objectPr>
        </oleObject>
      </mc:Choice>
      <mc:Fallback>
        <oleObject progId="Equation.DSMT4" shapeId="1215" r:id="rId57"/>
      </mc:Fallback>
    </mc:AlternateContent>
    <mc:AlternateContent xmlns:mc="http://schemas.openxmlformats.org/markup-compatibility/2006">
      <mc:Choice Requires="x14">
        <oleObject progId="Equation.DSMT4" shapeId="1237" r:id="rId59">
          <objectPr defaultSize="0" autoPict="0" r:id="rId60">
            <anchor moveWithCells="1">
              <from>
                <xdr:col>19</xdr:col>
                <xdr:colOff>95250</xdr:colOff>
                <xdr:row>53</xdr:row>
                <xdr:rowOff>0</xdr:rowOff>
              </from>
              <to>
                <xdr:col>20</xdr:col>
                <xdr:colOff>1838325</xdr:colOff>
                <xdr:row>56</xdr:row>
                <xdr:rowOff>76200</xdr:rowOff>
              </to>
            </anchor>
          </objectPr>
        </oleObject>
      </mc:Choice>
      <mc:Fallback>
        <oleObject progId="Equation.DSMT4" shapeId="1237" r:id="rId59"/>
      </mc:Fallback>
    </mc:AlternateContent>
    <mc:AlternateContent xmlns:mc="http://schemas.openxmlformats.org/markup-compatibility/2006">
      <mc:Choice Requires="x14">
        <oleObject progId="Equation.DSMT4" shapeId="1249" r:id="rId61">
          <objectPr defaultSize="0" autoPict="0" r:id="rId62">
            <anchor moveWithCells="1">
              <from>
                <xdr:col>19</xdr:col>
                <xdr:colOff>142875</xdr:colOff>
                <xdr:row>59</xdr:row>
                <xdr:rowOff>47625</xdr:rowOff>
              </from>
              <to>
                <xdr:col>20</xdr:col>
                <xdr:colOff>1304925</xdr:colOff>
                <xdr:row>62</xdr:row>
                <xdr:rowOff>123825</xdr:rowOff>
              </to>
            </anchor>
          </objectPr>
        </oleObject>
      </mc:Choice>
      <mc:Fallback>
        <oleObject progId="Equation.DSMT4" shapeId="1249" r:id="rId61"/>
      </mc:Fallback>
    </mc:AlternateContent>
    <mc:AlternateContent xmlns:mc="http://schemas.openxmlformats.org/markup-compatibility/2006">
      <mc:Choice Requires="x14">
        <oleObject progId="Equation.DSMT4" shapeId="1250" r:id="rId63">
          <objectPr defaultSize="0" autoPict="0" r:id="rId64">
            <anchor moveWithCells="1">
              <from>
                <xdr:col>19</xdr:col>
                <xdr:colOff>66675</xdr:colOff>
                <xdr:row>68</xdr:row>
                <xdr:rowOff>66675</xdr:rowOff>
              </from>
              <to>
                <xdr:col>20</xdr:col>
                <xdr:colOff>2476500</xdr:colOff>
                <xdr:row>70</xdr:row>
                <xdr:rowOff>171450</xdr:rowOff>
              </to>
            </anchor>
          </objectPr>
        </oleObject>
      </mc:Choice>
      <mc:Fallback>
        <oleObject progId="Equation.DSMT4" shapeId="1250" r:id="rId63"/>
      </mc:Fallback>
    </mc:AlternateContent>
    <mc:AlternateContent xmlns:mc="http://schemas.openxmlformats.org/markup-compatibility/2006">
      <mc:Choice Requires="x14">
        <oleObject progId="Equation.DSMT4" shapeId="1268" r:id="rId65">
          <objectPr defaultSize="0" autoPict="0" r:id="rId30">
            <anchor moveWithCells="1">
              <from>
                <xdr:col>19</xdr:col>
                <xdr:colOff>85725</xdr:colOff>
                <xdr:row>82</xdr:row>
                <xdr:rowOff>9525</xdr:rowOff>
              </from>
              <to>
                <xdr:col>20</xdr:col>
                <xdr:colOff>1733550</xdr:colOff>
                <xdr:row>83</xdr:row>
                <xdr:rowOff>123825</xdr:rowOff>
              </to>
            </anchor>
          </objectPr>
        </oleObject>
      </mc:Choice>
      <mc:Fallback>
        <oleObject progId="Equation.DSMT4" shapeId="1268" r:id="rId65"/>
      </mc:Fallback>
    </mc:AlternateContent>
    <mc:AlternateContent xmlns:mc="http://schemas.openxmlformats.org/markup-compatibility/2006">
      <mc:Choice Requires="x14">
        <oleObject progId="Equation.DSMT4" shapeId="1269" r:id="rId66">
          <objectPr defaultSize="0" autoPict="0" r:id="rId40">
            <anchor moveWithCells="1">
              <from>
                <xdr:col>19</xdr:col>
                <xdr:colOff>95250</xdr:colOff>
                <xdr:row>87</xdr:row>
                <xdr:rowOff>47625</xdr:rowOff>
              </from>
              <to>
                <xdr:col>20</xdr:col>
                <xdr:colOff>1876425</xdr:colOff>
                <xdr:row>88</xdr:row>
                <xdr:rowOff>152400</xdr:rowOff>
              </to>
            </anchor>
          </objectPr>
        </oleObject>
      </mc:Choice>
      <mc:Fallback>
        <oleObject progId="Equation.DSMT4" shapeId="1269" r:id="rId66"/>
      </mc:Fallback>
    </mc:AlternateContent>
    <mc:AlternateContent xmlns:mc="http://schemas.openxmlformats.org/markup-compatibility/2006">
      <mc:Choice Requires="x14">
        <oleObject progId="Equation.DSMT4" shapeId="1355" r:id="rId67">
          <objectPr defaultSize="0" r:id="rId68">
            <anchor moveWithCells="1">
              <from>
                <xdr:col>4</xdr:col>
                <xdr:colOff>57150</xdr:colOff>
                <xdr:row>104</xdr:row>
                <xdr:rowOff>19050</xdr:rowOff>
              </from>
              <to>
                <xdr:col>6</xdr:col>
                <xdr:colOff>114300</xdr:colOff>
                <xdr:row>106</xdr:row>
                <xdr:rowOff>57150</xdr:rowOff>
              </to>
            </anchor>
          </objectPr>
        </oleObject>
      </mc:Choice>
      <mc:Fallback>
        <oleObject progId="Equation.DSMT4" shapeId="1355" r:id="rId67"/>
      </mc:Fallback>
    </mc:AlternateContent>
    <mc:AlternateContent xmlns:mc="http://schemas.openxmlformats.org/markup-compatibility/2006">
      <mc:Choice Requires="x14">
        <oleObject progId="Equation.DSMT4" shapeId="1356" r:id="rId69">
          <objectPr defaultSize="0" autoPict="0" r:id="rId70">
            <anchor moveWithCells="1">
              <from>
                <xdr:col>40</xdr:col>
                <xdr:colOff>542925</xdr:colOff>
                <xdr:row>0</xdr:row>
                <xdr:rowOff>0</xdr:rowOff>
              </from>
              <to>
                <xdr:col>46</xdr:col>
                <xdr:colOff>352425</xdr:colOff>
                <xdr:row>2</xdr:row>
                <xdr:rowOff>57150</xdr:rowOff>
              </to>
            </anchor>
          </objectPr>
        </oleObject>
      </mc:Choice>
      <mc:Fallback>
        <oleObject progId="Equation.DSMT4" shapeId="1356" r:id="rId69"/>
      </mc:Fallback>
    </mc:AlternateContent>
    <mc:AlternateContent xmlns:mc="http://schemas.openxmlformats.org/markup-compatibility/2006">
      <mc:Choice Requires="x14">
        <oleObject progId="Equation.DSMT4" shapeId="1358" r:id="rId71">
          <objectPr defaultSize="0" autoPict="0" r:id="rId72">
            <anchor moveWithCells="1">
              <from>
                <xdr:col>60</xdr:col>
                <xdr:colOff>28575</xdr:colOff>
                <xdr:row>0</xdr:row>
                <xdr:rowOff>85725</xdr:rowOff>
              </from>
              <to>
                <xdr:col>61</xdr:col>
                <xdr:colOff>266700</xdr:colOff>
                <xdr:row>1</xdr:row>
                <xdr:rowOff>114300</xdr:rowOff>
              </to>
            </anchor>
          </objectPr>
        </oleObject>
      </mc:Choice>
      <mc:Fallback>
        <oleObject progId="Equation.DSMT4" shapeId="1358" r:id="rId71"/>
      </mc:Fallback>
    </mc:AlternateContent>
    <mc:AlternateContent xmlns:mc="http://schemas.openxmlformats.org/markup-compatibility/2006">
      <mc:Choice Requires="x14">
        <oleObject progId="Equation.DSMT4" shapeId="1359" r:id="rId73">
          <objectPr defaultSize="0" autoPict="0" r:id="rId30">
            <anchor moveWithCells="1">
              <from>
                <xdr:col>46</xdr:col>
                <xdr:colOff>590550</xdr:colOff>
                <xdr:row>0</xdr:row>
                <xdr:rowOff>38100</xdr:rowOff>
              </from>
              <to>
                <xdr:col>51</xdr:col>
                <xdr:colOff>476250</xdr:colOff>
                <xdr:row>1</xdr:row>
                <xdr:rowOff>152400</xdr:rowOff>
              </to>
            </anchor>
          </objectPr>
        </oleObject>
      </mc:Choice>
      <mc:Fallback>
        <oleObject progId="Equation.DSMT4" shapeId="1359" r:id="rId73"/>
      </mc:Fallback>
    </mc:AlternateContent>
    <mc:AlternateContent xmlns:mc="http://schemas.openxmlformats.org/markup-compatibility/2006">
      <mc:Choice Requires="x14">
        <oleObject progId="Equation.DSMT4" shapeId="1360" r:id="rId74">
          <objectPr defaultSize="0" autoPict="0" r:id="rId75">
            <anchor moveWithCells="1">
              <from>
                <xdr:col>52</xdr:col>
                <xdr:colOff>457200</xdr:colOff>
                <xdr:row>0</xdr:row>
                <xdr:rowOff>114300</xdr:rowOff>
              </from>
              <to>
                <xdr:col>58</xdr:col>
                <xdr:colOff>114300</xdr:colOff>
                <xdr:row>1</xdr:row>
                <xdr:rowOff>142875</xdr:rowOff>
              </to>
            </anchor>
          </objectPr>
        </oleObject>
      </mc:Choice>
      <mc:Fallback>
        <oleObject progId="Equation.DSMT4" shapeId="1360" r:id="rId74"/>
      </mc:Fallback>
    </mc:AlternateContent>
    <mc:AlternateContent xmlns:mc="http://schemas.openxmlformats.org/markup-compatibility/2006">
      <mc:Choice Requires="x14">
        <oleObject progId="Equation.DSMT4" shapeId="1361" r:id="rId76">
          <objectPr defaultSize="0" autoPict="0" r:id="rId77">
            <anchor moveWithCells="1">
              <from>
                <xdr:col>4</xdr:col>
                <xdr:colOff>28575</xdr:colOff>
                <xdr:row>109</xdr:row>
                <xdr:rowOff>161925</xdr:rowOff>
              </from>
              <to>
                <xdr:col>6</xdr:col>
                <xdr:colOff>447675</xdr:colOff>
                <xdr:row>111</xdr:row>
                <xdr:rowOff>38100</xdr:rowOff>
              </to>
            </anchor>
          </objectPr>
        </oleObject>
      </mc:Choice>
      <mc:Fallback>
        <oleObject progId="Equation.DSMT4" shapeId="1361" r:id="rId76"/>
      </mc:Fallback>
    </mc:AlternateContent>
    <mc:AlternateContent xmlns:mc="http://schemas.openxmlformats.org/markup-compatibility/2006">
      <mc:Choice Requires="x14">
        <oleObject progId="Equation.DSMT4" shapeId="1362" r:id="rId78">
          <objectPr defaultSize="0" autoPict="0" r:id="rId79">
            <anchor moveWithCells="1">
              <from>
                <xdr:col>4</xdr:col>
                <xdr:colOff>19050</xdr:colOff>
                <xdr:row>112</xdr:row>
                <xdr:rowOff>114300</xdr:rowOff>
              </from>
              <to>
                <xdr:col>13</xdr:col>
                <xdr:colOff>419100</xdr:colOff>
                <xdr:row>115</xdr:row>
                <xdr:rowOff>0</xdr:rowOff>
              </to>
            </anchor>
          </objectPr>
        </oleObject>
      </mc:Choice>
      <mc:Fallback>
        <oleObject progId="Equation.DSMT4" shapeId="1362" r:id="rId78"/>
      </mc:Fallback>
    </mc:AlternateContent>
    <mc:AlternateContent xmlns:mc="http://schemas.openxmlformats.org/markup-compatibility/2006">
      <mc:Choice Requires="x14">
        <oleObject progId="Equation.DSMT4" shapeId="1363" r:id="rId80">
          <objectPr defaultSize="0" autoPict="0" r:id="rId81">
            <anchor moveWithCells="1">
              <from>
                <xdr:col>4</xdr:col>
                <xdr:colOff>47625</xdr:colOff>
                <xdr:row>115</xdr:row>
                <xdr:rowOff>95250</xdr:rowOff>
              </from>
              <to>
                <xdr:col>8</xdr:col>
                <xdr:colOff>209550</xdr:colOff>
                <xdr:row>117</xdr:row>
                <xdr:rowOff>76200</xdr:rowOff>
              </to>
            </anchor>
          </objectPr>
        </oleObject>
      </mc:Choice>
      <mc:Fallback>
        <oleObject progId="Equation.DSMT4" shapeId="1363" r:id="rId80"/>
      </mc:Fallback>
    </mc:AlternateContent>
    <mc:AlternateContent xmlns:mc="http://schemas.openxmlformats.org/markup-compatibility/2006">
      <mc:Choice Requires="x14">
        <oleObject progId="Equation.DSMT4" shapeId="1364" r:id="rId82">
          <objectPr defaultSize="0" r:id="rId83">
            <anchor moveWithCells="1">
              <from>
                <xdr:col>4</xdr:col>
                <xdr:colOff>47625</xdr:colOff>
                <xdr:row>117</xdr:row>
                <xdr:rowOff>142875</xdr:rowOff>
              </from>
              <to>
                <xdr:col>6</xdr:col>
                <xdr:colOff>400050</xdr:colOff>
                <xdr:row>120</xdr:row>
                <xdr:rowOff>9525</xdr:rowOff>
              </to>
            </anchor>
          </objectPr>
        </oleObject>
      </mc:Choice>
      <mc:Fallback>
        <oleObject progId="Equation.DSMT4" shapeId="1364" r:id="rId82"/>
      </mc:Fallback>
    </mc:AlternateContent>
    <mc:AlternateContent xmlns:mc="http://schemas.openxmlformats.org/markup-compatibility/2006">
      <mc:Choice Requires="x14">
        <oleObject progId="Equation.DSMT4" shapeId="1365" r:id="rId84">
          <objectPr defaultSize="0" r:id="rId85">
            <anchor moveWithCells="1">
              <from>
                <xdr:col>4</xdr:col>
                <xdr:colOff>28575</xdr:colOff>
                <xdr:row>120</xdr:row>
                <xdr:rowOff>114300</xdr:rowOff>
              </from>
              <to>
                <xdr:col>4</xdr:col>
                <xdr:colOff>428625</xdr:colOff>
                <xdr:row>122</xdr:row>
                <xdr:rowOff>142875</xdr:rowOff>
              </to>
            </anchor>
          </objectPr>
        </oleObject>
      </mc:Choice>
      <mc:Fallback>
        <oleObject progId="Equation.DSMT4" shapeId="1365" r:id="rId84"/>
      </mc:Fallback>
    </mc:AlternateContent>
    <mc:AlternateContent xmlns:mc="http://schemas.openxmlformats.org/markup-compatibility/2006">
      <mc:Choice Requires="x14">
        <oleObject progId="Equation.DSMT4" shapeId="1390" r:id="rId86">
          <objectPr defaultSize="0" autoPict="0" r:id="rId87">
            <anchor moveWithCells="1">
              <from>
                <xdr:col>4</xdr:col>
                <xdr:colOff>19050</xdr:colOff>
                <xdr:row>123</xdr:row>
                <xdr:rowOff>161925</xdr:rowOff>
              </from>
              <to>
                <xdr:col>7</xdr:col>
                <xdr:colOff>123825</xdr:colOff>
                <xdr:row>125</xdr:row>
                <xdr:rowOff>38100</xdr:rowOff>
              </to>
            </anchor>
          </objectPr>
        </oleObject>
      </mc:Choice>
      <mc:Fallback>
        <oleObject progId="Equation.DSMT4" shapeId="1390" r:id="rId86"/>
      </mc:Fallback>
    </mc:AlternateContent>
    <mc:AlternateContent xmlns:mc="http://schemas.openxmlformats.org/markup-compatibility/2006">
      <mc:Choice Requires="x14">
        <oleObject progId="Equation.DSMT4" shapeId="1391" r:id="rId88">
          <objectPr defaultSize="0" autoPict="0" r:id="rId89">
            <anchor moveWithCells="1">
              <from>
                <xdr:col>4</xdr:col>
                <xdr:colOff>0</xdr:colOff>
                <xdr:row>125</xdr:row>
                <xdr:rowOff>190500</xdr:rowOff>
              </from>
              <to>
                <xdr:col>7</xdr:col>
                <xdr:colOff>95250</xdr:colOff>
                <xdr:row>127</xdr:row>
                <xdr:rowOff>142875</xdr:rowOff>
              </to>
            </anchor>
          </objectPr>
        </oleObject>
      </mc:Choice>
      <mc:Fallback>
        <oleObject progId="Equation.DSMT4" shapeId="1391" r:id="rId88"/>
      </mc:Fallback>
    </mc:AlternateContent>
    <mc:AlternateContent xmlns:mc="http://schemas.openxmlformats.org/markup-compatibility/2006">
      <mc:Choice Requires="x14">
        <oleObject progId="Equation.DSMT4" shapeId="1392" r:id="rId90">
          <objectPr defaultSize="0" autoPict="0" r:id="rId91">
            <anchor moveWithCells="1">
              <from>
                <xdr:col>4</xdr:col>
                <xdr:colOff>209550</xdr:colOff>
                <xdr:row>10</xdr:row>
                <xdr:rowOff>142875</xdr:rowOff>
              </from>
              <to>
                <xdr:col>11</xdr:col>
                <xdr:colOff>57150</xdr:colOff>
                <xdr:row>12</xdr:row>
                <xdr:rowOff>85725</xdr:rowOff>
              </to>
            </anchor>
          </objectPr>
        </oleObject>
      </mc:Choice>
      <mc:Fallback>
        <oleObject progId="Equation.DSMT4" shapeId="1392" r:id="rId90"/>
      </mc:Fallback>
    </mc:AlternateContent>
    <mc:AlternateContent xmlns:mc="http://schemas.openxmlformats.org/markup-compatibility/2006">
      <mc:Choice Requires="x14">
        <oleObject progId="Equation.DSMT4" shapeId="1394" r:id="rId92">
          <objectPr defaultSize="0" r:id="rId93">
            <anchor moveWithCells="1">
              <from>
                <xdr:col>7</xdr:col>
                <xdr:colOff>314325</xdr:colOff>
                <xdr:row>12</xdr:row>
                <xdr:rowOff>171450</xdr:rowOff>
              </from>
              <to>
                <xdr:col>7</xdr:col>
                <xdr:colOff>581025</xdr:colOff>
                <xdr:row>14</xdr:row>
                <xdr:rowOff>19050</xdr:rowOff>
              </to>
            </anchor>
          </objectPr>
        </oleObject>
      </mc:Choice>
      <mc:Fallback>
        <oleObject progId="Equation.DSMT4" shapeId="1394" r:id="rId92"/>
      </mc:Fallback>
    </mc:AlternateContent>
    <mc:AlternateContent xmlns:mc="http://schemas.openxmlformats.org/markup-compatibility/2006">
      <mc:Choice Requires="x14">
        <oleObject progId="Equation.DSMT4" shapeId="1395" r:id="rId94">
          <objectPr defaultSize="0" r:id="rId95">
            <anchor moveWithCells="1" sizeWithCells="1">
              <from>
                <xdr:col>13</xdr:col>
                <xdr:colOff>19050</xdr:colOff>
                <xdr:row>11</xdr:row>
                <xdr:rowOff>161925</xdr:rowOff>
              </from>
              <to>
                <xdr:col>15</xdr:col>
                <xdr:colOff>209550</xdr:colOff>
                <xdr:row>12</xdr:row>
                <xdr:rowOff>152400</xdr:rowOff>
              </to>
            </anchor>
          </objectPr>
        </oleObject>
      </mc:Choice>
      <mc:Fallback>
        <oleObject progId="Equation.DSMT4" shapeId="1395" r:id="rId94"/>
      </mc:Fallback>
    </mc:AlternateContent>
    <mc:AlternateContent xmlns:mc="http://schemas.openxmlformats.org/markup-compatibility/2006">
      <mc:Choice Requires="x14">
        <oleObject progId="Equation.DSMT4" shapeId="1398" r:id="rId96">
          <objectPr defaultSize="0" autoPict="0" r:id="rId97">
            <anchor moveWithCells="1">
              <from>
                <xdr:col>4</xdr:col>
                <xdr:colOff>9525</xdr:colOff>
                <xdr:row>36</xdr:row>
                <xdr:rowOff>47625</xdr:rowOff>
              </from>
              <to>
                <xdr:col>10</xdr:col>
                <xdr:colOff>9525</xdr:colOff>
                <xdr:row>39</xdr:row>
                <xdr:rowOff>66675</xdr:rowOff>
              </to>
            </anchor>
          </objectPr>
        </oleObject>
      </mc:Choice>
      <mc:Fallback>
        <oleObject progId="Equation.DSMT4" shapeId="1398" r:id="rId96"/>
      </mc:Fallback>
    </mc:AlternateContent>
    <mc:AlternateContent xmlns:mc="http://schemas.openxmlformats.org/markup-compatibility/2006">
      <mc:Choice Requires="x14">
        <oleObject progId="Equation.DSMT4" shapeId="1399" r:id="rId98">
          <objectPr defaultSize="0" autoPict="0" r:id="rId99">
            <anchor moveWithCells="1">
              <from>
                <xdr:col>4</xdr:col>
                <xdr:colOff>0</xdr:colOff>
                <xdr:row>39</xdr:row>
                <xdr:rowOff>104775</xdr:rowOff>
              </from>
              <to>
                <xdr:col>12</xdr:col>
                <xdr:colOff>352425</xdr:colOff>
                <xdr:row>42</xdr:row>
                <xdr:rowOff>114300</xdr:rowOff>
              </to>
            </anchor>
          </objectPr>
        </oleObject>
      </mc:Choice>
      <mc:Fallback>
        <oleObject progId="Equation.DSMT4" shapeId="1399" r:id="rId98"/>
      </mc:Fallback>
    </mc:AlternateContent>
    <mc:AlternateContent xmlns:mc="http://schemas.openxmlformats.org/markup-compatibility/2006">
      <mc:Choice Requires="x14">
        <oleObject progId="Equation.DSMT4" shapeId="1400" r:id="rId100">
          <objectPr defaultSize="0" autoPict="0" r:id="rId101">
            <anchor moveWithCells="1">
              <from>
                <xdr:col>4</xdr:col>
                <xdr:colOff>152400</xdr:colOff>
                <xdr:row>86</xdr:row>
                <xdr:rowOff>66675</xdr:rowOff>
              </from>
              <to>
                <xdr:col>14</xdr:col>
                <xdr:colOff>381000</xdr:colOff>
                <xdr:row>90</xdr:row>
                <xdr:rowOff>152400</xdr:rowOff>
              </to>
            </anchor>
          </objectPr>
        </oleObject>
      </mc:Choice>
      <mc:Fallback>
        <oleObject progId="Equation.DSMT4" shapeId="1400" r:id="rId100"/>
      </mc:Fallback>
    </mc:AlternateContent>
    <mc:AlternateContent xmlns:mc="http://schemas.openxmlformats.org/markup-compatibility/2006">
      <mc:Choice Requires="x14">
        <oleObject progId="Equation.DSMT4" shapeId="1401" r:id="rId102">
          <objectPr defaultSize="0" autoPict="0" r:id="rId103">
            <anchor moveWithCells="1">
              <from>
                <xdr:col>3</xdr:col>
                <xdr:colOff>600075</xdr:colOff>
                <xdr:row>96</xdr:row>
                <xdr:rowOff>85725</xdr:rowOff>
              </from>
              <to>
                <xdr:col>8</xdr:col>
                <xdr:colOff>314325</xdr:colOff>
                <xdr:row>98</xdr:row>
                <xdr:rowOff>28575</xdr:rowOff>
              </to>
            </anchor>
          </objectPr>
        </oleObject>
      </mc:Choice>
      <mc:Fallback>
        <oleObject progId="Equation.DSMT4" shapeId="1401" r:id="rId102"/>
      </mc:Fallback>
    </mc:AlternateContent>
    <mc:AlternateContent xmlns:mc="http://schemas.openxmlformats.org/markup-compatibility/2006">
      <mc:Choice Requires="x14">
        <oleObject progId="Equation.DSMT4" shapeId="1402" r:id="rId104">
          <objectPr defaultSize="0" r:id="rId105">
            <anchor moveWithCells="1">
              <from>
                <xdr:col>11</xdr:col>
                <xdr:colOff>438150</xdr:colOff>
                <xdr:row>96</xdr:row>
                <xdr:rowOff>28575</xdr:rowOff>
              </from>
              <to>
                <xdr:col>14</xdr:col>
                <xdr:colOff>676275</xdr:colOff>
                <xdr:row>98</xdr:row>
                <xdr:rowOff>66675</xdr:rowOff>
              </to>
            </anchor>
          </objectPr>
        </oleObject>
      </mc:Choice>
      <mc:Fallback>
        <oleObject progId="Equation.DSMT4" shapeId="1402" r:id="rId10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D2:W224"/>
  <sheetViews>
    <sheetView showGridLines="0"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F11" sqref="F11"/>
    </sheetView>
  </sheetViews>
  <sheetFormatPr defaultRowHeight="15" outlineLevelRow="1"/>
  <cols>
    <col min="5" max="5" width="4.85546875" customWidth="1"/>
    <col min="6" max="6" width="50" customWidth="1"/>
    <col min="7" max="7" width="9" customWidth="1"/>
    <col min="8" max="8" width="9.5703125" customWidth="1"/>
    <col min="9" max="9" width="8.7109375" customWidth="1"/>
    <col min="10" max="10" width="10.42578125" customWidth="1"/>
    <col min="12" max="12" width="9.42578125" customWidth="1"/>
    <col min="14" max="14" width="8.7109375" customWidth="1"/>
    <col min="17" max="17" width="17.28515625" customWidth="1"/>
  </cols>
  <sheetData>
    <row r="2" spans="6:16">
      <c r="J2" t="s">
        <v>21</v>
      </c>
      <c r="L2" t="s">
        <v>22</v>
      </c>
      <c r="N2" t="s">
        <v>23</v>
      </c>
    </row>
    <row r="3" spans="6:16" hidden="1" outlineLevel="1">
      <c r="F3" t="s">
        <v>107</v>
      </c>
      <c r="J3" s="37">
        <f>100*(1+'OPTIONAL FULL MODEL APPENDIX'!W74)/(1+'OPTIONAL FULL MODEL APPENDIX'!$C$31)</f>
        <v>100</v>
      </c>
      <c r="L3" s="37">
        <f>100*(1+'OPTIONAL FULL MODEL APPENDIX'!Y74)/(1+'OPTIONAL FULL MODEL APPENDIX'!$C$31)</f>
        <v>100</v>
      </c>
      <c r="N3" s="37">
        <f>100*(1+'OPTIONAL FULL MODEL APPENDIX'!AA74)/(1+'OPTIONAL FULL MODEL APPENDIX'!$C$31)</f>
        <v>100</v>
      </c>
    </row>
    <row r="4" spans="6:16" hidden="1" outlineLevel="1">
      <c r="F4" t="s">
        <v>108</v>
      </c>
      <c r="J4" s="37">
        <f>'OPTIONAL FULL MODEL APPENDIX'!W113*'Fiscal and CB Dashboard'!J3/100</f>
        <v>1239.9999993541767</v>
      </c>
      <c r="L4" s="37">
        <f>'OPTIONAL FULL MODEL APPENDIX'!Y113*'Fiscal and CB Dashboard'!L3/100</f>
        <v>1239.9999993541767</v>
      </c>
      <c r="N4" s="37">
        <f>'OPTIONAL FULL MODEL APPENDIX'!AA113*'Fiscal and CB Dashboard'!N3/100</f>
        <v>1239.9999993541767</v>
      </c>
    </row>
    <row r="5" spans="6:16" hidden="1" outlineLevel="1"/>
    <row r="6" spans="6:16" collapsed="1"/>
    <row r="7" spans="6:16">
      <c r="F7" s="81" t="s">
        <v>109</v>
      </c>
      <c r="P7" s="74"/>
    </row>
    <row r="8" spans="6:16">
      <c r="J8" t="s">
        <v>21</v>
      </c>
      <c r="L8" t="s">
        <v>22</v>
      </c>
      <c r="N8" t="s">
        <v>23</v>
      </c>
      <c r="P8" s="26"/>
    </row>
    <row r="9" spans="6:16">
      <c r="F9" t="s">
        <v>110</v>
      </c>
      <c r="J9" s="37">
        <f>'OPTIONAL FULL MODEL APPENDIX'!$C$47*('OPTIONAL FULL MODEL APPENDIX'!$C$6+'OPTIONAL FULL MODEL APPENDIX'!$K$8*'OPTIONAL FULL MODEL APPENDIX'!W67+'OPTIONAL FULL MODEL APPENDIX'!W9)*'Fiscal and CB Dashboard'!J3/100</f>
        <v>223.19999988375176</v>
      </c>
      <c r="L9" s="37">
        <f>'OPTIONAL FULL MODEL APPENDIX'!$C$47*('OPTIONAL FULL MODEL APPENDIX'!$C$6+'OPTIONAL FULL MODEL APPENDIX'!$K$8*'OPTIONAL FULL MODEL APPENDIX'!Y67+'OPTIONAL FULL MODEL APPENDIX'!Y9+'OPTIONAL FULL MODEL APPENDIX'!Y9)*'Fiscal and CB Dashboard'!L3/100</f>
        <v>223.19999988375176</v>
      </c>
      <c r="N9" s="37">
        <f>'OPTIONAL FULL MODEL APPENDIX'!$C$47*('OPTIONAL FULL MODEL APPENDIX'!$C$6+'OPTIONAL FULL MODEL APPENDIX'!$K$8*'OPTIONAL FULL MODEL APPENDIX'!AA67+'OPTIONAL FULL MODEL APPENDIX'!AA9)*'Fiscal and CB Dashboard'!N3/100</f>
        <v>223.19999988375176</v>
      </c>
    </row>
    <row r="10" spans="6:16">
      <c r="F10" t="s">
        <v>111</v>
      </c>
      <c r="J10" s="37">
        <f>'OPTIONAL FULL MODEL APPENDIX'!W116*'Fiscal and CB Dashboard'!J3/100</f>
        <v>223.19999988375176</v>
      </c>
      <c r="L10" s="37">
        <f>'OPTIONAL FULL MODEL APPENDIX'!Y116*'Fiscal and CB Dashboard'!L3/100</f>
        <v>223.19999988375176</v>
      </c>
      <c r="N10" s="37">
        <f>'OPTIONAL FULL MODEL APPENDIX'!AA116*'Fiscal and CB Dashboard'!N3/100</f>
        <v>223.19999988375176</v>
      </c>
    </row>
    <row r="11" spans="6:16">
      <c r="F11" t="s">
        <v>112</v>
      </c>
      <c r="J11" s="37">
        <f>J9-J10</f>
        <v>0</v>
      </c>
      <c r="L11" s="37">
        <f>L9-L10</f>
        <v>0</v>
      </c>
      <c r="N11" s="37">
        <f>N9-N10</f>
        <v>0</v>
      </c>
    </row>
    <row r="12" spans="6:16">
      <c r="F12" t="s">
        <v>113</v>
      </c>
      <c r="J12" s="37">
        <f>$H15*J17+J17*0.5*(J15-$H15)</f>
        <v>48.311688286526369</v>
      </c>
      <c r="L12" s="37">
        <f>$H15*L17+L17*0.5*(L15-$H15)</f>
        <v>48.311688286526369</v>
      </c>
      <c r="N12" s="37">
        <f>$H15*N17+N17*0.5*(N15-$H15)</f>
        <v>48.311688286526369</v>
      </c>
    </row>
    <row r="13" spans="6:16">
      <c r="F13" t="s">
        <v>114</v>
      </c>
      <c r="J13" s="37">
        <f>J11-J12</f>
        <v>-48.311688286526369</v>
      </c>
      <c r="L13" s="37">
        <f>L11-L12</f>
        <v>-48.311688286526369</v>
      </c>
      <c r="N13" s="37">
        <f>N11-N12</f>
        <v>-48.311688286526369</v>
      </c>
    </row>
    <row r="14" spans="6:16">
      <c r="H14" t="s">
        <v>273</v>
      </c>
    </row>
    <row r="15" spans="6:16">
      <c r="F15" t="s">
        <v>115</v>
      </c>
      <c r="H15" s="50">
        <v>619.99999967708834</v>
      </c>
      <c r="J15" s="37">
        <f>(1/(1-0.5*J17))*(H15*(1+J17)-J11-J17*0.5*H15)</f>
        <v>668.31168796361476</v>
      </c>
      <c r="L15" s="37">
        <f>(1/(1-0.5*L17))*($H15*(1+L17)-L11-L17*0.5*H15)</f>
        <v>668.31168796361476</v>
      </c>
      <c r="N15" s="37">
        <f>(1/(1-0.5*N17))*($H15*(1+N17)-N11-N17*0.5*H15)</f>
        <v>668.31168796361476</v>
      </c>
    </row>
    <row r="16" spans="6:16">
      <c r="L16" s="26"/>
      <c r="N16" s="26"/>
    </row>
    <row r="17" spans="6:23">
      <c r="F17" t="s">
        <v>274</v>
      </c>
      <c r="J17" s="33">
        <f>'OPTIONAL FULL MODEL APPENDIX'!W80+'OPTIONAL FULL MODEL APPENDIX'!W74+'OPTIONAL FULL MODEL APPENDIX'!W84</f>
        <v>7.4999999999999997E-2</v>
      </c>
      <c r="L17" s="33">
        <f>'OPTIONAL FULL MODEL APPENDIX'!Y80+'OPTIONAL FULL MODEL APPENDIX'!Y74+'OPTIONAL FULL MODEL APPENDIX'!Y84</f>
        <v>7.4999999999999997E-2</v>
      </c>
      <c r="N17" s="33">
        <f>'OPTIONAL FULL MODEL APPENDIX'!AA80+'OPTIONAL FULL MODEL APPENDIX'!AA74+'OPTIONAL FULL MODEL APPENDIX'!AA84</f>
        <v>7.4999999999999997E-2</v>
      </c>
    </row>
    <row r="18" spans="6:23">
      <c r="J18" s="26"/>
      <c r="L18" s="26"/>
      <c r="N18" s="26"/>
    </row>
    <row r="19" spans="6:23">
      <c r="F19" t="s">
        <v>275</v>
      </c>
    </row>
    <row r="20" spans="6:23">
      <c r="F20" t="s">
        <v>276</v>
      </c>
      <c r="J20" s="37">
        <f>'OPTIONAL FULL MODEL APPENDIX'!$C$47*('OPTIONAL FULL MODEL APPENDIX'!$K$8*'OPTIONAL FULL MODEL APPENDIX'!W67)*'Fiscal and CB Dashboard'!J3/100</f>
        <v>0</v>
      </c>
      <c r="L20" s="37">
        <f>'OPTIONAL FULL MODEL APPENDIX'!$C$47*('OPTIONAL FULL MODEL APPENDIX'!$K$8*'OPTIONAL FULL MODEL APPENDIX'!Y67)*'Fiscal and CB Dashboard'!L3/100</f>
        <v>0</v>
      </c>
      <c r="N20" s="37">
        <f>'OPTIONAL FULL MODEL APPENDIX'!$C$47*('OPTIONAL FULL MODEL APPENDIX'!$K$8*'OPTIONAL FULL MODEL APPENDIX'!AA67)*'Fiscal and CB Dashboard'!N3/100</f>
        <v>0</v>
      </c>
    </row>
    <row r="21" spans="6:23">
      <c r="F21" t="s">
        <v>277</v>
      </c>
      <c r="J21" s="37">
        <f>'OPTIONAL FULL MODEL APPENDIX'!$C$13*('OPTIONAL FULL MODEL APPENDIX'!$I$19*'OPTIONAL FULL MODEL APPENDIX'!W67)*(J3/100)</f>
        <v>0</v>
      </c>
      <c r="L21" s="37">
        <f>'OPTIONAL FULL MODEL APPENDIX'!$C$13*('OPTIONAL FULL MODEL APPENDIX'!$I$19*'OPTIONAL FULL MODEL APPENDIX'!Y67)*(L3/100)</f>
        <v>0</v>
      </c>
      <c r="N21" s="37">
        <f>'OPTIONAL FULL MODEL APPENDIX'!$C$13*('OPTIONAL FULL MODEL APPENDIX'!$I$19*'OPTIONAL FULL MODEL APPENDIX'!AA67)*(N3/100)</f>
        <v>0</v>
      </c>
    </row>
    <row r="23" spans="6:23">
      <c r="F23" t="s">
        <v>278</v>
      </c>
      <c r="J23" s="33">
        <f>'OPTIONAL FULL MODEL APPENDIX'!W67</f>
        <v>0</v>
      </c>
      <c r="L23" s="33">
        <f>'OPTIONAL FULL MODEL APPENDIX'!Y67</f>
        <v>0</v>
      </c>
      <c r="N23" s="33">
        <f>'OPTIONAL FULL MODEL APPENDIX'!AA67</f>
        <v>0</v>
      </c>
    </row>
    <row r="25" spans="6:23">
      <c r="F25" s="81" t="s">
        <v>286</v>
      </c>
    </row>
    <row r="27" spans="6:23">
      <c r="F27" t="s">
        <v>110</v>
      </c>
      <c r="J27" s="33">
        <f>J9/J$4</f>
        <v>0.17999999999999997</v>
      </c>
      <c r="L27" s="33">
        <f>L9/L$4</f>
        <v>0.17999999999999997</v>
      </c>
      <c r="N27" s="33">
        <f>N9/N$4</f>
        <v>0.17999999999999997</v>
      </c>
    </row>
    <row r="28" spans="6:23">
      <c r="F28" t="s">
        <v>111</v>
      </c>
      <c r="J28" s="33">
        <f>J10/J$4</f>
        <v>0.17999999999999997</v>
      </c>
      <c r="L28" s="33">
        <f>L10/L$4</f>
        <v>0.17999999999999997</v>
      </c>
      <c r="N28" s="33">
        <f>N10/N$4</f>
        <v>0.17999999999999997</v>
      </c>
    </row>
    <row r="29" spans="6:23">
      <c r="F29" t="s">
        <v>112</v>
      </c>
      <c r="J29" s="33">
        <f>J11/J$4</f>
        <v>0</v>
      </c>
      <c r="L29" s="33">
        <f>L11/L$4</f>
        <v>0</v>
      </c>
      <c r="N29" s="33">
        <f>N11/N$4</f>
        <v>0</v>
      </c>
    </row>
    <row r="30" spans="6:23">
      <c r="F30" t="s">
        <v>113</v>
      </c>
      <c r="J30" s="33">
        <f>J12/J$4</f>
        <v>3.8961038961038967E-2</v>
      </c>
      <c r="L30" s="33">
        <f>L12/L$4</f>
        <v>3.8961038961038967E-2</v>
      </c>
      <c r="N30" s="33">
        <f>N12/N$4</f>
        <v>3.8961038961038967E-2</v>
      </c>
      <c r="R30" t="s">
        <v>21</v>
      </c>
      <c r="S30" t="s">
        <v>22</v>
      </c>
      <c r="T30" t="s">
        <v>23</v>
      </c>
    </row>
    <row r="31" spans="6:23">
      <c r="F31" t="s">
        <v>114</v>
      </c>
      <c r="J31" s="33">
        <f>J13/J$4</f>
        <v>-3.8961038961038967E-2</v>
      </c>
      <c r="L31" s="33">
        <f>L13/L$4</f>
        <v>-3.8961038961038967E-2</v>
      </c>
      <c r="N31" s="33">
        <f>N13/N$4</f>
        <v>-3.8961038961038967E-2</v>
      </c>
      <c r="Q31" t="s">
        <v>150</v>
      </c>
      <c r="R31" s="1">
        <f>J33</f>
        <v>0.53896103896103897</v>
      </c>
      <c r="S31" s="1">
        <f>L33</f>
        <v>0.53896103896103897</v>
      </c>
      <c r="T31" s="1">
        <f>N33</f>
        <v>0.53896103896103897</v>
      </c>
      <c r="U31" s="1"/>
      <c r="W31" s="1"/>
    </row>
    <row r="33" spans="4:14">
      <c r="F33" t="s">
        <v>115</v>
      </c>
      <c r="H33" s="39">
        <f>H15/'OPTIONAL FULL MODEL APPENDIX'!C13</f>
        <v>0.5</v>
      </c>
      <c r="J33" s="33">
        <f>J15/J$4</f>
        <v>0.53896103896103897</v>
      </c>
      <c r="L33" s="33">
        <f>L15/L$4</f>
        <v>0.53896103896103897</v>
      </c>
      <c r="N33" s="33">
        <f>N15/N$4</f>
        <v>0.53896103896103897</v>
      </c>
    </row>
    <row r="34" spans="4:14">
      <c r="F34" t="s">
        <v>285</v>
      </c>
      <c r="J34" s="82">
        <f>'OPTIONAL FULL MODEL APPENDIX'!W113*'Fiscal and CB Dashboard'!J3/100</f>
        <v>1239.9999993541767</v>
      </c>
      <c r="L34" s="82">
        <f>'OPTIONAL FULL MODEL APPENDIX'!Y113*'Fiscal and CB Dashboard'!L3/100</f>
        <v>1239.9999993541767</v>
      </c>
      <c r="N34" s="82">
        <f>'OPTIONAL FULL MODEL APPENDIX'!AA113*'Fiscal and CB Dashboard'!N3/100</f>
        <v>1239.9999993541767</v>
      </c>
    </row>
    <row r="35" spans="4:14">
      <c r="F35" t="s">
        <v>289</v>
      </c>
      <c r="J35" s="82">
        <f>100*(1+'OPTIONAL FULL MODEL APPENDIX'!W74)/(1+'OPTIONAL FULL MODEL APPENDIX'!$C$31)</f>
        <v>100</v>
      </c>
      <c r="L35" s="82">
        <f>100*(1+'OPTIONAL FULL MODEL APPENDIX'!Y74)/(1+'OPTIONAL FULL MODEL APPENDIX'!$C$31)</f>
        <v>100</v>
      </c>
      <c r="N35" s="82">
        <f>100*(1+'OPTIONAL FULL MODEL APPENDIX'!AA74)/(1+'OPTIONAL FULL MODEL APPENDIX'!$C$31)</f>
        <v>100</v>
      </c>
    </row>
    <row r="39" spans="4:14">
      <c r="F39" s="81" t="s">
        <v>287</v>
      </c>
      <c r="J39" s="37">
        <f>-J13</f>
        <v>48.311688286526369</v>
      </c>
      <c r="L39" s="37">
        <f>-L13</f>
        <v>48.311688286526369</v>
      </c>
      <c r="N39" s="37">
        <f>-N13</f>
        <v>48.311688286526369</v>
      </c>
    </row>
    <row r="40" spans="4:14">
      <c r="F40" t="s">
        <v>121</v>
      </c>
      <c r="H40">
        <v>9.7938014494356</v>
      </c>
      <c r="J40" s="37">
        <f>J45*J39</f>
        <v>9.6623376573052742</v>
      </c>
      <c r="L40" s="37">
        <f>L45*L39</f>
        <v>9.6623376573052742</v>
      </c>
      <c r="N40" s="37">
        <f>N45*N39</f>
        <v>9.6623376573052742</v>
      </c>
    </row>
    <row r="41" spans="4:14">
      <c r="D41" s="156"/>
      <c r="E41" s="156"/>
      <c r="F41" t="s">
        <v>122</v>
      </c>
      <c r="H41">
        <v>5.6678868370907658</v>
      </c>
      <c r="J41" s="37">
        <f>IF($H$43="N",J45*J46*J39,$H$41)</f>
        <v>5.6678868370907658</v>
      </c>
      <c r="L41" s="37">
        <f>IF($H$43="N",L45*L46*L39,$H$41)</f>
        <v>5.6678868370907658</v>
      </c>
      <c r="N41" s="37">
        <f>IF($H$43="N",N45*N46*N39,$H$41)</f>
        <v>5.6678868370907658</v>
      </c>
    </row>
    <row r="42" spans="4:14">
      <c r="F42" t="s">
        <v>123</v>
      </c>
      <c r="J42" s="37">
        <f>J39-J40</f>
        <v>38.649350629221097</v>
      </c>
      <c r="L42" s="37">
        <f>L39-L40</f>
        <v>38.649350629221097</v>
      </c>
      <c r="N42" s="37">
        <f>(1-N45)*N39*0.6*0+23.19</f>
        <v>23.19</v>
      </c>
    </row>
    <row r="43" spans="4:14">
      <c r="F43" s="169" t="s">
        <v>395</v>
      </c>
      <c r="G43" t="s">
        <v>396</v>
      </c>
      <c r="H43" s="169" t="s">
        <v>343</v>
      </c>
    </row>
    <row r="44" spans="4:14" collapsed="1"/>
    <row r="45" spans="4:14">
      <c r="F45" t="s">
        <v>124</v>
      </c>
      <c r="G45" s="171" t="str">
        <f>IF(H43&lt;&gt;"Y","Enter assumptions →","")</f>
        <v>Enter assumptions →</v>
      </c>
      <c r="J45" s="170">
        <v>0.2</v>
      </c>
      <c r="L45" s="170">
        <v>0.2</v>
      </c>
      <c r="N45" s="170">
        <v>0.2</v>
      </c>
    </row>
    <row r="46" spans="4:14">
      <c r="F46" t="s">
        <v>125</v>
      </c>
      <c r="G46" t="str">
        <f>IF(H43&lt;&gt;"Y","Enter assumptions →","")</f>
        <v>Enter assumptions →</v>
      </c>
      <c r="J46" s="170">
        <v>0.58659581543453132</v>
      </c>
      <c r="K46" s="22"/>
      <c r="L46" s="170">
        <f>J46</f>
        <v>0.58659581543453132</v>
      </c>
      <c r="M46" s="22"/>
      <c r="N46" s="170">
        <f>L46</f>
        <v>0.58659581543453132</v>
      </c>
    </row>
    <row r="48" spans="4:14">
      <c r="F48" s="81" t="s">
        <v>288</v>
      </c>
    </row>
    <row r="50" spans="6:21">
      <c r="F50" t="s">
        <v>126</v>
      </c>
      <c r="J50" s="33">
        <f>J39/J$4</f>
        <v>3.8961038961038967E-2</v>
      </c>
      <c r="L50" s="33">
        <f>L39/L$4</f>
        <v>3.8961038961038967E-2</v>
      </c>
      <c r="N50" s="65">
        <f>N39/N$4</f>
        <v>3.8961038961038967E-2</v>
      </c>
    </row>
    <row r="51" spans="6:21">
      <c r="F51" t="s">
        <v>121</v>
      </c>
      <c r="J51" s="33">
        <f>J40/J$4</f>
        <v>7.7922077922077931E-3</v>
      </c>
      <c r="L51" s="33">
        <f>L40/L$4</f>
        <v>7.7922077922077931E-3</v>
      </c>
      <c r="N51" s="65">
        <f>N40/N$4</f>
        <v>7.7922077922077931E-3</v>
      </c>
    </row>
    <row r="52" spans="6:21">
      <c r="F52" t="s">
        <v>122</v>
      </c>
      <c r="J52" s="78">
        <f>J41/J$4</f>
        <v>4.5708764839054389E-3</v>
      </c>
      <c r="K52" s="28"/>
      <c r="L52" s="78">
        <f>L41/L$4</f>
        <v>4.5708764839054389E-3</v>
      </c>
      <c r="M52" s="28"/>
      <c r="N52" s="79">
        <f>N41/N$4</f>
        <v>4.5708764839054389E-3</v>
      </c>
    </row>
    <row r="53" spans="6:21">
      <c r="F53" t="s">
        <v>123</v>
      </c>
      <c r="J53" s="33">
        <f>J42/J$4</f>
        <v>3.1168831168831172E-2</v>
      </c>
      <c r="L53" s="33">
        <f>L42/L$4</f>
        <v>3.1168831168831172E-2</v>
      </c>
      <c r="N53" s="65">
        <f>N42/N$4</f>
        <v>1.8701612912966081E-2</v>
      </c>
      <c r="S53" t="s">
        <v>21</v>
      </c>
      <c r="T53" t="s">
        <v>22</v>
      </c>
      <c r="U53" t="s">
        <v>23</v>
      </c>
    </row>
    <row r="54" spans="6:21">
      <c r="R54" t="s">
        <v>149</v>
      </c>
      <c r="S54" s="26">
        <f>J65</f>
        <v>40</v>
      </c>
      <c r="T54" s="26">
        <f>L65</f>
        <v>35.570290259514934</v>
      </c>
      <c r="U54" s="26">
        <f>N65</f>
        <v>40</v>
      </c>
    </row>
    <row r="55" spans="6:21">
      <c r="F55" s="81" t="s">
        <v>127</v>
      </c>
      <c r="R55" t="s">
        <v>399</v>
      </c>
      <c r="S55" s="156">
        <f>J71</f>
        <v>0</v>
      </c>
      <c r="T55" s="156">
        <f>L71</f>
        <v>4.429709740485066</v>
      </c>
      <c r="U55" s="156">
        <f>N71</f>
        <v>0</v>
      </c>
    </row>
    <row r="56" spans="6:21">
      <c r="J56" t="s">
        <v>21</v>
      </c>
      <c r="L56" t="s">
        <v>22</v>
      </c>
      <c r="N56" t="s">
        <v>23</v>
      </c>
    </row>
    <row r="57" spans="6:21">
      <c r="F57" t="s">
        <v>128</v>
      </c>
    </row>
    <row r="58" spans="6:21">
      <c r="F58" t="s">
        <v>129</v>
      </c>
      <c r="J58" s="52">
        <f>J59+J60+J61</f>
        <v>54.334840407637778</v>
      </c>
      <c r="K58" s="51"/>
      <c r="L58" s="52">
        <f>L59+L60+L61</f>
        <v>54.334840407637778</v>
      </c>
      <c r="M58" s="51"/>
      <c r="N58" s="52">
        <f>N59+N60+N61</f>
        <v>54.334840407637778</v>
      </c>
    </row>
    <row r="59" spans="6:21">
      <c r="F59" t="s">
        <v>130</v>
      </c>
      <c r="J59" s="37">
        <f>$H$83*(1+('OPTIONAL FULL MODEL APPENDIX'!W74-'OPTIONAL FULL MODEL APPENDIX'!$C$31)+$H$89*'OPTIONAL FULL MODEL APPENDIX'!W67+$H$93*('OPTIONAL FULL MODEL APPENDIX'!W80+'OPTIONAL FULL MODEL APPENDIX'!W74-'OPTIONAL FULL MODEL APPENDIX'!$C$34-'OPTIONAL FULL MODEL APPENDIX'!$C$31))</f>
        <v>29.33484042055424</v>
      </c>
      <c r="K59" s="26"/>
      <c r="L59" s="37">
        <f>$H$83*(1+('OPTIONAL FULL MODEL APPENDIX'!Y74-'OPTIONAL FULL MODEL APPENDIX'!$C$31)+$H$89*'OPTIONAL FULL MODEL APPENDIX'!Y67+$H$93*('OPTIONAL FULL MODEL APPENDIX'!Y80+'OPTIONAL FULL MODEL APPENDIX'!Y74-'OPTIONAL FULL MODEL APPENDIX'!$C$34-'OPTIONAL FULL MODEL APPENDIX'!$C$31))</f>
        <v>29.33484042055424</v>
      </c>
      <c r="M59" s="26"/>
      <c r="N59" s="37">
        <f>$H$83*(1+('OPTIONAL FULL MODEL APPENDIX'!AA74-'OPTIONAL FULL MODEL APPENDIX'!$C$31)+$H$89*'OPTIONAL FULL MODEL APPENDIX'!AA67+$H$93*('OPTIONAL FULL MODEL APPENDIX'!AA80+'OPTIONAL FULL MODEL APPENDIX'!AA74-'OPTIONAL FULL MODEL APPENDIX'!$C$34-'OPTIONAL FULL MODEL APPENDIX'!$C$31))</f>
        <v>29.33484042055424</v>
      </c>
    </row>
    <row r="60" spans="6:21">
      <c r="F60" t="s">
        <v>131</v>
      </c>
      <c r="J60" s="37">
        <f>$H$86*'OPTIONAL FULL MODEL APPENDIX'!$C$13*(1+('OPTIONAL FULL MODEL APPENDIX'!W74-'OPTIONAL FULL MODEL APPENDIX'!$C$31)+$H$89*'OPTIONAL FULL MODEL APPENDIX'!W67+$H$93*('OPTIONAL FULL MODEL APPENDIX'!W80+'OPTIONAL FULL MODEL APPENDIX'!W74-'OPTIONAL FULL MODEL APPENDIX'!$C$34-'OPTIONAL FULL MODEL APPENDIX'!$C$31))</f>
        <v>24.799999987083535</v>
      </c>
      <c r="K60" s="26"/>
      <c r="L60" s="37">
        <f>$H$86*'OPTIONAL FULL MODEL APPENDIX'!$C$13*(1+('OPTIONAL FULL MODEL APPENDIX'!Y74-'OPTIONAL FULL MODEL APPENDIX'!$C$31)+$H$89*'OPTIONAL FULL MODEL APPENDIX'!Y67+$H$93*('OPTIONAL FULL MODEL APPENDIX'!Y80+'OPTIONAL FULL MODEL APPENDIX'!Y74-'OPTIONAL FULL MODEL APPENDIX'!$C$34-'OPTIONAL FULL MODEL APPENDIX'!$C$31))</f>
        <v>24.799999987083535</v>
      </c>
      <c r="M60" s="26"/>
      <c r="N60" s="37">
        <f>$H$86*'OPTIONAL FULL MODEL APPENDIX'!$C$13*(1+('OPTIONAL FULL MODEL APPENDIX'!AA74-'OPTIONAL FULL MODEL APPENDIX'!$C$31)+$H$89*'OPTIONAL FULL MODEL APPENDIX'!AA67+$H$93*('OPTIONAL FULL MODEL APPENDIX'!AA80+'OPTIONAL FULL MODEL APPENDIX'!AA74-'OPTIONAL FULL MODEL APPENDIX'!$C$34-'OPTIONAL FULL MODEL APPENDIX'!$C$31))</f>
        <v>24.799999987083535</v>
      </c>
    </row>
    <row r="61" spans="6:21">
      <c r="F61" t="s">
        <v>132</v>
      </c>
      <c r="J61" s="37">
        <v>0.2</v>
      </c>
      <c r="K61" s="26"/>
      <c r="L61" s="37">
        <v>0.2</v>
      </c>
      <c r="M61" s="26"/>
      <c r="N61" s="37">
        <v>0.2</v>
      </c>
    </row>
    <row r="63" spans="6:21">
      <c r="H63" t="s">
        <v>259</v>
      </c>
      <c r="J63" t="s">
        <v>21</v>
      </c>
      <c r="L63" t="s">
        <v>22</v>
      </c>
      <c r="N63" t="s">
        <v>23</v>
      </c>
    </row>
    <row r="64" spans="6:21">
      <c r="F64" t="s">
        <v>133</v>
      </c>
      <c r="J64" s="37">
        <f>J58</f>
        <v>54.334840407637778</v>
      </c>
      <c r="L64" s="37">
        <f>L58</f>
        <v>54.334840407637778</v>
      </c>
      <c r="N64" s="37">
        <f>N58</f>
        <v>54.334840407637778</v>
      </c>
    </row>
    <row r="65" spans="6:14">
      <c r="F65" t="s">
        <v>324</v>
      </c>
      <c r="H65">
        <f>H146</f>
        <v>40</v>
      </c>
      <c r="J65" s="41">
        <f>$H146+'External Sector Dashboard'!J55*'External Sector Dashboard'!J15</f>
        <v>40</v>
      </c>
      <c r="L65" s="41">
        <f>$H146+'External Sector Dashboard'!L55*'External Sector Dashboard'!L15</f>
        <v>35.570290259514934</v>
      </c>
      <c r="N65" s="41">
        <f>$H146+'External Sector Dashboard'!N55*'External Sector Dashboard'!N15</f>
        <v>40</v>
      </c>
    </row>
    <row r="66" spans="6:14">
      <c r="F66" t="s">
        <v>325</v>
      </c>
      <c r="J66" s="37">
        <f>J148+J149</f>
        <v>14.334840407637778</v>
      </c>
      <c r="L66" s="37">
        <f>L148+L149</f>
        <v>18.764550148122844</v>
      </c>
      <c r="N66" s="37">
        <f>N148+N149</f>
        <v>14.334840407637778</v>
      </c>
    </row>
    <row r="67" spans="6:14">
      <c r="F67" t="s">
        <v>379</v>
      </c>
      <c r="H67">
        <f>H148</f>
        <v>1</v>
      </c>
      <c r="J67" s="40">
        <f>J41+$H148</f>
        <v>6.6678868370907658</v>
      </c>
      <c r="L67" s="40">
        <f>L41+$H148</f>
        <v>6.6678868370907658</v>
      </c>
      <c r="N67" s="40">
        <f>N41+$H148</f>
        <v>6.6678868370907658</v>
      </c>
    </row>
    <row r="68" spans="6:14">
      <c r="F68" t="s">
        <v>397</v>
      </c>
      <c r="H68" s="22">
        <v>7.6669535705470118</v>
      </c>
      <c r="J68" s="37">
        <f>J145-J146-J148-J150</f>
        <v>7.6669535705470118</v>
      </c>
      <c r="L68" s="37">
        <f>L145-L146-L148-L150</f>
        <v>12.096663311032078</v>
      </c>
      <c r="N68" s="37">
        <f>N145-N146-N148-N150</f>
        <v>7.6669535705470118</v>
      </c>
    </row>
    <row r="69" spans="6:14">
      <c r="F69" t="s">
        <v>380</v>
      </c>
      <c r="J69" s="40">
        <v>0</v>
      </c>
      <c r="L69" s="40">
        <v>0</v>
      </c>
      <c r="N69" s="40">
        <v>0</v>
      </c>
    </row>
    <row r="71" spans="6:14">
      <c r="F71" t="s">
        <v>398</v>
      </c>
      <c r="J71" s="12">
        <f>J68-$H68</f>
        <v>0</v>
      </c>
      <c r="L71" s="12">
        <f>L68-$H68</f>
        <v>4.429709740485066</v>
      </c>
      <c r="N71" s="12">
        <f>N68-$H68</f>
        <v>0</v>
      </c>
    </row>
    <row r="72" spans="6:14" hidden="1">
      <c r="F72" s="42" t="s">
        <v>139</v>
      </c>
      <c r="J72" s="26"/>
    </row>
    <row r="73" spans="6:14" hidden="1">
      <c r="F73" s="42" t="s">
        <v>140</v>
      </c>
      <c r="G73" s="43"/>
      <c r="H73" s="43"/>
      <c r="I73" s="43"/>
      <c r="J73" s="44"/>
      <c r="K73" s="45"/>
      <c r="L73" s="46">
        <f>L65-$J$65</f>
        <v>-4.429709740485066</v>
      </c>
      <c r="M73" s="45"/>
      <c r="N73" s="46">
        <f>N65-$J$65</f>
        <v>0</v>
      </c>
    </row>
    <row r="74" spans="6:14" hidden="1">
      <c r="F74" s="42" t="s">
        <v>141</v>
      </c>
      <c r="G74" s="43"/>
      <c r="H74" s="43"/>
      <c r="I74" s="43"/>
      <c r="J74" s="47"/>
      <c r="K74" s="48"/>
      <c r="L74" s="49">
        <f>L73/J4</f>
        <v>-3.5723465667678797E-3</v>
      </c>
      <c r="M74" s="48"/>
      <c r="N74" s="49">
        <f>N73/L4</f>
        <v>0</v>
      </c>
    </row>
    <row r="75" spans="6:14" hidden="1">
      <c r="F75" s="42" t="s">
        <v>364</v>
      </c>
      <c r="J75" s="26">
        <f>'External Sector Dashboard'!J15</f>
        <v>3.1039603960396023</v>
      </c>
      <c r="L75" s="26">
        <f>'External Sector Dashboard'!L15</f>
        <v>3.1039603960396023</v>
      </c>
      <c r="N75" s="26">
        <f>'External Sector Dashboard'!N15</f>
        <v>3.1039603960396023</v>
      </c>
    </row>
    <row r="76" spans="6:14" hidden="1">
      <c r="F76" t="s">
        <v>291</v>
      </c>
      <c r="J76">
        <v>6</v>
      </c>
      <c r="L76">
        <v>6</v>
      </c>
      <c r="N76">
        <v>6</v>
      </c>
    </row>
    <row r="77" spans="6:14" hidden="1">
      <c r="F77" t="s">
        <v>292</v>
      </c>
      <c r="J77" s="1">
        <f>J65/(J76*J58)</f>
        <v>0.12269598321539456</v>
      </c>
      <c r="K77" s="1"/>
      <c r="L77" s="1">
        <f>L65/(L76*L58)</f>
        <v>0.10910829341620393</v>
      </c>
      <c r="M77" s="1"/>
      <c r="N77" s="1">
        <f>N65/(N76*N58)</f>
        <v>0.12269598321539456</v>
      </c>
    </row>
    <row r="79" spans="6:14">
      <c r="F79" s="81" t="s">
        <v>290</v>
      </c>
      <c r="J79" s="51"/>
    </row>
    <row r="83" spans="6:8">
      <c r="F83" t="s">
        <v>142</v>
      </c>
      <c r="H83" s="38">
        <f>1.83342752628464*16</f>
        <v>29.33484042055424</v>
      </c>
    </row>
    <row r="84" spans="6:8">
      <c r="F84" t="s">
        <v>117</v>
      </c>
      <c r="H84" s="39">
        <f>H83/'OPTIONAL FULL MODEL APPENDIX'!C13</f>
        <v>2.3657129383735941E-2</v>
      </c>
    </row>
    <row r="85" spans="6:8">
      <c r="F85" t="s">
        <v>143</v>
      </c>
      <c r="H85" s="50">
        <f>1/H84</f>
        <v>42.270555475234069</v>
      </c>
    </row>
    <row r="86" spans="6:8">
      <c r="F86" t="s">
        <v>144</v>
      </c>
      <c r="H86" s="39">
        <v>0.02</v>
      </c>
    </row>
    <row r="88" spans="6:8">
      <c r="F88" t="s">
        <v>145</v>
      </c>
    </row>
    <row r="89" spans="6:8">
      <c r="F89" t="s">
        <v>146</v>
      </c>
      <c r="H89">
        <v>1.5</v>
      </c>
    </row>
    <row r="91" spans="6:8">
      <c r="F91" t="s">
        <v>147</v>
      </c>
      <c r="H91">
        <v>1</v>
      </c>
    </row>
    <row r="93" spans="6:8">
      <c r="F93" t="s">
        <v>148</v>
      </c>
      <c r="H93">
        <v>-0.7</v>
      </c>
    </row>
    <row r="141" spans="6:16">
      <c r="F141" t="s">
        <v>373</v>
      </c>
    </row>
    <row r="142" spans="6:16" ht="34.5" customHeight="1">
      <c r="F142" s="148" t="s">
        <v>371</v>
      </c>
    </row>
    <row r="143" spans="6:16">
      <c r="F143" s="25"/>
      <c r="G143" s="25"/>
      <c r="H143" s="25"/>
      <c r="I143" s="25"/>
      <c r="J143" s="143"/>
      <c r="K143" s="25"/>
      <c r="L143" s="25"/>
      <c r="M143" s="25"/>
      <c r="N143" s="25"/>
      <c r="O143" s="25"/>
      <c r="P143" s="25"/>
    </row>
    <row r="144" spans="6:16">
      <c r="F144" s="25"/>
      <c r="G144" s="25"/>
      <c r="H144" s="25" t="s">
        <v>259</v>
      </c>
      <c r="I144" s="25"/>
      <c r="J144" s="25" t="s">
        <v>21</v>
      </c>
      <c r="K144" s="25"/>
      <c r="L144" s="25" t="s">
        <v>22</v>
      </c>
      <c r="M144" s="25"/>
      <c r="N144" s="25" t="s">
        <v>23</v>
      </c>
      <c r="O144" s="25"/>
      <c r="P144" s="25"/>
    </row>
    <row r="145" spans="6:16">
      <c r="F145" s="25" t="s">
        <v>133</v>
      </c>
      <c r="G145" s="25"/>
      <c r="H145" s="25"/>
      <c r="I145" s="25"/>
      <c r="J145" s="37">
        <f>IF($F$142=$F$161,J64,IF($F$142=$F$165,J167,IF($F$142=$F$185,J187,"ERROR")))</f>
        <v>54.334840407637778</v>
      </c>
      <c r="K145" s="25"/>
      <c r="L145" s="37">
        <f>IF($F$142=$F$161,L64,IF($F$142=$F$165,L167,IF($F$142=$F$185,L187,"ERROR")))</f>
        <v>54.334840407637778</v>
      </c>
      <c r="M145" s="25"/>
      <c r="N145" s="37">
        <f>IF($F$142=$F$161,N64,IF($F$142=$F$165,N167,IF($F$142=$F$185,N187,"ERROR")))</f>
        <v>54.334840407637778</v>
      </c>
      <c r="O145" s="25"/>
      <c r="P145" s="25"/>
    </row>
    <row r="146" spans="6:16">
      <c r="F146" s="25" t="s">
        <v>324</v>
      </c>
      <c r="G146" s="25"/>
      <c r="H146" s="25">
        <v>40</v>
      </c>
      <c r="I146" s="25"/>
      <c r="J146" s="41">
        <f>IF($F$142=$F$161,J65,IF($F$142=$F$165,J169,IF($F$142=$F$185,J188,"ERROR")))</f>
        <v>40</v>
      </c>
      <c r="K146" s="25"/>
      <c r="L146" s="41">
        <f>IF($F$142=$F$161,L65,IF($F$142=$F$165,L169,IF($F$142=$F$185,L188,"ERROR")))</f>
        <v>35.570290259514934</v>
      </c>
      <c r="M146" s="25"/>
      <c r="N146" s="41">
        <f>IF($F$142=$F$161,N65,IF($F$142=$F$165,N169,IF($F$142=$F$185,N188,"ERROR")))</f>
        <v>40</v>
      </c>
      <c r="O146" s="25"/>
      <c r="P146" s="25"/>
    </row>
    <row r="147" spans="6:16">
      <c r="F147" s="25" t="s">
        <v>325</v>
      </c>
      <c r="G147" s="25"/>
      <c r="H147" s="25"/>
      <c r="I147" s="25"/>
      <c r="J147" s="37">
        <f>IF($F$142=$F$161,J66,IF($F$142=$F$165,J170,IF($F$142=$F$185,J189,"ERROR")))</f>
        <v>14.334840407637778</v>
      </c>
      <c r="K147" s="25"/>
      <c r="L147" s="37">
        <f>IF($F$142=$F$161,L66,IF($F$142=$F$165,L170,IF($F$142=$F$185,L189,"ERROR")))</f>
        <v>18.764550148122844</v>
      </c>
      <c r="M147" s="25"/>
      <c r="N147" s="37">
        <f>IF($F$142=$F$161,N66,IF($F$142=$F$165,N170,IF($F$142=$F$185,N189,"ERROR")))</f>
        <v>14.334840407637778</v>
      </c>
      <c r="O147" s="25"/>
      <c r="P147" s="25"/>
    </row>
    <row r="148" spans="6:16">
      <c r="F148" s="25" t="s">
        <v>136</v>
      </c>
      <c r="G148" s="25"/>
      <c r="H148" s="25">
        <v>1</v>
      </c>
      <c r="I148" s="25"/>
      <c r="J148" s="40">
        <f>IF($F$142=$F$161,J67,IF($F$142=$F$165,J171,IF($F$142=$F$185,J190,"ERROR")))</f>
        <v>6.6678868370907658</v>
      </c>
      <c r="K148" s="25"/>
      <c r="L148" s="40">
        <f>IF($F$142=$F$161,L67,IF($F$142=$F$165,L171,IF($F$142=$F$185,L190,"ERROR")))</f>
        <v>6.6678868370907658</v>
      </c>
      <c r="M148" s="25"/>
      <c r="N148" s="40">
        <f>IF($F$142=$F$161,N67,IF($F$142=$F$165,N171,IF($F$142=$F$185,N190,"ERROR")))</f>
        <v>6.6678868370907658</v>
      </c>
      <c r="O148" s="25"/>
      <c r="P148" s="25">
        <f>IF($H$71="N",L146,N145-N147)</f>
        <v>40</v>
      </c>
    </row>
    <row r="149" spans="6:16">
      <c r="F149" s="25" t="str">
        <f>IF(H152="N","        Credit to banks/other -- RESIDUAL","       Credit to banks/fixed -- FIXED")</f>
        <v xml:space="preserve">        Credit to banks/other -- RESIDUAL</v>
      </c>
      <c r="G149" s="25"/>
      <c r="H149" s="25"/>
      <c r="I149" s="25"/>
      <c r="J149" s="37">
        <f>IF($F$142=$F$161,J68,IF($F$142=$F$165,J172,IF($F$142=$F$185,J191,"ERROR")))</f>
        <v>7.6669535705470118</v>
      </c>
      <c r="K149" s="25"/>
      <c r="L149" s="37">
        <f>IF($F$142=$F$161,L68,IF($F$142=$F$165,L172,IF($F$142=$F$185,L191,"ERROR")))</f>
        <v>12.096663311032078</v>
      </c>
      <c r="M149" s="25"/>
      <c r="N149" s="37">
        <f>IF($F$142=$F$161,N68,IF($F$142=$F$165,N172,IF($F$142=$F$185,N191,"ERROR")))</f>
        <v>7.6669535705470118</v>
      </c>
      <c r="O149" s="25"/>
      <c r="P149" s="25"/>
    </row>
    <row r="150" spans="6:16">
      <c r="F150" s="25" t="s">
        <v>138</v>
      </c>
      <c r="G150" s="25"/>
      <c r="H150" s="25"/>
      <c r="I150" s="25"/>
      <c r="J150" s="37">
        <f>IF($F$142=$F$161,J69,IF($F$142=$F$165,J173,IF($F$142=$F$185,J192,"ERROR")))</f>
        <v>0</v>
      </c>
      <c r="K150" s="25"/>
      <c r="L150" s="37">
        <f>IF($F$142=$F$161,L69,IF($F$142=$F$165,L173,IF($F$142=$F$185,L192,"ERROR")))</f>
        <v>0</v>
      </c>
      <c r="M150" s="25"/>
      <c r="N150" s="37">
        <f>IF($F$142=$F$161,N69,IF($F$142=$F$165,N173,IF($F$142=$F$185,N192,"ERROR")))</f>
        <v>0</v>
      </c>
      <c r="O150" s="25"/>
      <c r="P150" s="25"/>
    </row>
    <row r="151" spans="6:16"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</row>
    <row r="152" spans="6:16" hidden="1">
      <c r="F152" s="140" t="s">
        <v>326</v>
      </c>
      <c r="G152" s="25"/>
      <c r="H152" s="141" t="s">
        <v>343</v>
      </c>
      <c r="I152" s="25"/>
      <c r="J152" s="25"/>
      <c r="K152" s="25"/>
      <c r="L152" s="25"/>
      <c r="M152" s="25"/>
      <c r="N152" s="25"/>
      <c r="O152" s="25"/>
      <c r="P152" s="25"/>
    </row>
    <row r="153" spans="6:16" hidden="1">
      <c r="F153" s="142" t="s">
        <v>139</v>
      </c>
      <c r="G153" s="25"/>
      <c r="H153" s="25"/>
      <c r="I153" s="25"/>
      <c r="J153" s="143"/>
      <c r="K153" s="25"/>
      <c r="L153" s="25"/>
      <c r="M153" s="25"/>
      <c r="N153" s="25"/>
      <c r="O153" s="25"/>
      <c r="P153" s="25"/>
    </row>
    <row r="154" spans="6:16" hidden="1">
      <c r="F154" s="142" t="s">
        <v>140</v>
      </c>
      <c r="G154" s="144"/>
      <c r="H154" s="144"/>
      <c r="I154" s="144"/>
      <c r="J154" s="45"/>
      <c r="K154" s="45"/>
      <c r="L154" s="45">
        <f>L146-$J$65</f>
        <v>-4.429709740485066</v>
      </c>
      <c r="M154" s="45"/>
      <c r="N154" s="45">
        <f>N146-$J$65</f>
        <v>0</v>
      </c>
      <c r="O154" s="25"/>
      <c r="P154" s="25"/>
    </row>
    <row r="155" spans="6:16" hidden="1">
      <c r="F155" s="142" t="s">
        <v>141</v>
      </c>
      <c r="G155" s="144"/>
      <c r="H155" s="144"/>
      <c r="I155" s="144"/>
      <c r="J155" s="48"/>
      <c r="K155" s="48"/>
      <c r="L155" s="48" t="e">
        <f>L154/#REF!</f>
        <v>#REF!</v>
      </c>
      <c r="M155" s="48"/>
      <c r="N155" s="48" t="e">
        <f>N154/#REF!</f>
        <v>#REF!</v>
      </c>
      <c r="O155" s="25"/>
      <c r="P155" s="25"/>
    </row>
    <row r="156" spans="6:16" hidden="1">
      <c r="F156" s="142" t="s">
        <v>364</v>
      </c>
      <c r="G156" s="25"/>
      <c r="H156" s="25"/>
      <c r="I156" s="25"/>
      <c r="J156" s="143" t="e">
        <f>'External Sector Dashboard'!#REF!</f>
        <v>#REF!</v>
      </c>
      <c r="K156" s="25"/>
      <c r="L156" s="143" t="e">
        <f>'External Sector Dashboard'!#REF!</f>
        <v>#REF!</v>
      </c>
      <c r="M156" s="25"/>
      <c r="N156" s="143" t="e">
        <f>'External Sector Dashboard'!#REF!</f>
        <v>#REF!</v>
      </c>
      <c r="O156" s="25"/>
      <c r="P156" s="25"/>
    </row>
    <row r="157" spans="6:16" hidden="1">
      <c r="F157" s="25" t="s">
        <v>291</v>
      </c>
      <c r="G157" s="25"/>
      <c r="H157" s="25"/>
      <c r="I157" s="25"/>
      <c r="J157" s="25">
        <v>6</v>
      </c>
      <c r="K157" s="25"/>
      <c r="L157" s="25">
        <v>6</v>
      </c>
      <c r="M157" s="25"/>
      <c r="N157" s="25">
        <v>6</v>
      </c>
      <c r="O157" s="25"/>
      <c r="P157" s="25"/>
    </row>
    <row r="158" spans="6:16" hidden="1">
      <c r="F158" s="25" t="s">
        <v>292</v>
      </c>
      <c r="G158" s="25"/>
      <c r="H158" s="25"/>
      <c r="I158" s="25"/>
      <c r="J158" s="145">
        <f>J146/(J157*J3)</f>
        <v>6.6666666666666666E-2</v>
      </c>
      <c r="K158" s="145"/>
      <c r="L158" s="145">
        <f>L146/(L157*L3)</f>
        <v>5.9283817099191553E-2</v>
      </c>
      <c r="M158" s="145"/>
      <c r="N158" s="145">
        <f>N146/(N157*N3)</f>
        <v>6.6666666666666666E-2</v>
      </c>
      <c r="O158" s="25"/>
      <c r="P158" s="25"/>
    </row>
    <row r="160" spans="6:16">
      <c r="F160" t="s">
        <v>368</v>
      </c>
    </row>
    <row r="161" spans="6:15">
      <c r="F161" s="3" t="str">
        <f>F208</f>
        <v xml:space="preserve">Mode A: No External Financing Constraint, No FX Intervention </v>
      </c>
      <c r="G161" s="3"/>
      <c r="H161" s="3"/>
      <c r="I161" s="3"/>
      <c r="J161" s="3"/>
      <c r="K161" s="3"/>
      <c r="L161" s="3"/>
      <c r="M161" s="3"/>
      <c r="N161" s="3"/>
      <c r="O161" s="3"/>
    </row>
    <row r="163" spans="6:15">
      <c r="J163" s="1"/>
      <c r="K163" s="1"/>
      <c r="L163" s="1"/>
      <c r="M163" s="1"/>
      <c r="N163" t="str">
        <f>IF('External Sector Dashboard'!N178="Y",'Fiscal and CB Dashboard'!H65+'External Sector Dashboard'!N56*'Fiscal and CB Dashboard'!N75,"NA")</f>
        <v>NA</v>
      </c>
    </row>
    <row r="164" spans="6:15">
      <c r="J164" s="1"/>
      <c r="K164" s="1"/>
      <c r="L164" s="1"/>
      <c r="M164" s="1"/>
    </row>
    <row r="165" spans="6:15">
      <c r="F165" s="3" t="str">
        <f>F209</f>
        <v>Mode B: No External Financing Constraint, FX Intervention allowed DO NOT USE</v>
      </c>
      <c r="G165" s="3"/>
      <c r="H165" s="3"/>
      <c r="I165" s="3"/>
      <c r="J165" s="3"/>
      <c r="K165" s="3"/>
      <c r="L165" s="3"/>
      <c r="M165" s="3"/>
      <c r="N165" s="3"/>
      <c r="O165" s="3"/>
    </row>
    <row r="166" spans="6:15">
      <c r="H166" t="s">
        <v>259</v>
      </c>
      <c r="J166" t="s">
        <v>21</v>
      </c>
      <c r="L166" t="s">
        <v>22</v>
      </c>
      <c r="N166" t="s">
        <v>23</v>
      </c>
    </row>
    <row r="167" spans="6:15">
      <c r="F167" t="s">
        <v>133</v>
      </c>
      <c r="J167" s="37">
        <f>J145</f>
        <v>54.334840407637778</v>
      </c>
      <c r="L167" s="37">
        <f>L145</f>
        <v>54.334840407637778</v>
      </c>
      <c r="N167" s="37">
        <f>N145</f>
        <v>54.334840407637778</v>
      </c>
    </row>
    <row r="168" spans="6:15">
      <c r="F168" t="s">
        <v>377</v>
      </c>
      <c r="J168" s="26">
        <f>J167-J170</f>
        <v>40</v>
      </c>
      <c r="L168" s="26">
        <f>L167-L170</f>
        <v>40</v>
      </c>
      <c r="N168" s="26">
        <f>N167-N170</f>
        <v>40</v>
      </c>
    </row>
    <row r="169" spans="6:15">
      <c r="F169" t="s">
        <v>324</v>
      </c>
      <c r="H169">
        <v>40</v>
      </c>
      <c r="J169" s="41">
        <v>40</v>
      </c>
      <c r="L169" s="41">
        <v>16.594049627286154</v>
      </c>
      <c r="N169" s="41">
        <v>40.897432430031387</v>
      </c>
    </row>
    <row r="170" spans="6:15">
      <c r="F170" t="s">
        <v>325</v>
      </c>
      <c r="J170" s="37">
        <f>J171+J172+J173</f>
        <v>14.334840407637776</v>
      </c>
      <c r="L170" s="37">
        <f>L171+L172+L173</f>
        <v>14.334840407637776</v>
      </c>
      <c r="N170" s="37">
        <f>N171+N172+N173</f>
        <v>14.334840407637776</v>
      </c>
    </row>
    <row r="171" spans="6:15">
      <c r="F171" t="s">
        <v>136</v>
      </c>
      <c r="H171">
        <v>1</v>
      </c>
      <c r="J171" s="40">
        <f>J41+$H171</f>
        <v>6.6678868370907658</v>
      </c>
      <c r="L171" s="40">
        <f>L41+$H171</f>
        <v>6.6678868370907658</v>
      </c>
      <c r="N171" s="40">
        <f>N41+$H171</f>
        <v>6.6678868370907658</v>
      </c>
    </row>
    <row r="172" spans="6:15">
      <c r="F172" t="str">
        <f>IF(H175="N","        Credit to banks/other -- RESIDUAL","       Credit to banks/fixed -- FIXED")</f>
        <v xml:space="preserve">       Credit to banks/fixed -- FIXED</v>
      </c>
      <c r="J172" s="37">
        <v>7.6369535705470115</v>
      </c>
      <c r="L172" s="37">
        <v>7.6369535705470115</v>
      </c>
      <c r="N172" s="37">
        <v>7.6369535705470115</v>
      </c>
    </row>
    <row r="173" spans="6:15">
      <c r="F173" t="s">
        <v>138</v>
      </c>
      <c r="J173" s="37">
        <v>0.03</v>
      </c>
      <c r="L173" s="37">
        <v>0.03</v>
      </c>
      <c r="N173" s="37">
        <v>0.03</v>
      </c>
    </row>
    <row r="175" spans="6:15">
      <c r="F175" s="93" t="s">
        <v>326</v>
      </c>
      <c r="H175" s="94" t="s">
        <v>369</v>
      </c>
    </row>
    <row r="176" spans="6:15">
      <c r="F176" s="42" t="s">
        <v>139</v>
      </c>
      <c r="J176" s="26"/>
    </row>
    <row r="177" spans="4:15">
      <c r="F177" s="42" t="s">
        <v>140</v>
      </c>
      <c r="G177" s="43"/>
      <c r="H177" s="43"/>
      <c r="I177" s="43"/>
      <c r="J177" s="44"/>
      <c r="K177" s="45"/>
      <c r="L177" s="46">
        <f>L169-$J$65</f>
        <v>-23.405950372713846</v>
      </c>
      <c r="M177" s="45"/>
      <c r="N177" s="46">
        <f>N169-$J$65</f>
        <v>0.89743243003138673</v>
      </c>
    </row>
    <row r="178" spans="4:15">
      <c r="F178" s="42" t="s">
        <v>141</v>
      </c>
      <c r="G178" s="43"/>
      <c r="H178" s="43"/>
      <c r="I178" s="43"/>
      <c r="J178" s="47"/>
      <c r="K178" s="48"/>
      <c r="L178" s="49" t="e">
        <f>L177/J22</f>
        <v>#DIV/0!</v>
      </c>
      <c r="M178" s="48"/>
      <c r="N178" s="49" t="e">
        <f>N177/L22</f>
        <v>#DIV/0!</v>
      </c>
    </row>
    <row r="179" spans="4:15">
      <c r="F179" s="42" t="s">
        <v>364</v>
      </c>
      <c r="J179" s="26">
        <f>'External Sector Dashboard'!J33</f>
        <v>-3.6656674165734833</v>
      </c>
      <c r="L179" s="26">
        <f>'External Sector Dashboard'!L33</f>
        <v>-3.6437318641019232</v>
      </c>
      <c r="N179" s="26">
        <f>'External Sector Dashboard'!N33</f>
        <v>-3.6656674165734278</v>
      </c>
    </row>
    <row r="180" spans="4:15">
      <c r="F180" t="s">
        <v>291</v>
      </c>
      <c r="J180">
        <v>6</v>
      </c>
      <c r="L180">
        <v>6</v>
      </c>
      <c r="N180">
        <v>6</v>
      </c>
    </row>
    <row r="181" spans="4:15">
      <c r="F181" t="s">
        <v>292</v>
      </c>
      <c r="J181" s="1" t="e">
        <f>J169/(J180*J91)</f>
        <v>#DIV/0!</v>
      </c>
      <c r="K181" s="1"/>
      <c r="L181" s="1" t="e">
        <f>L169/(L180*L91)</f>
        <v>#DIV/0!</v>
      </c>
      <c r="M181" s="1"/>
      <c r="N181" s="1" t="e">
        <f>N169/(N180*#REF!)</f>
        <v>#REF!</v>
      </c>
    </row>
    <row r="182" spans="4:15">
      <c r="J182" s="1"/>
      <c r="K182" s="1"/>
      <c r="L182" s="1"/>
      <c r="M182" s="1"/>
      <c r="N182" t="str">
        <f>IF('External Sector Dashboard'!N53="Y",'Fiscal and CB Dashboard'!H169+'External Sector Dashboard'!N78*'Fiscal and CB Dashboard'!N179,"NA")</f>
        <v>NA</v>
      </c>
    </row>
    <row r="183" spans="4:15">
      <c r="J183" s="1"/>
      <c r="K183" s="1"/>
      <c r="L183" s="1"/>
      <c r="M183" s="1"/>
    </row>
    <row r="184" spans="4:15">
      <c r="J184" s="1"/>
      <c r="K184" s="1"/>
      <c r="L184" s="1"/>
      <c r="M184" s="1"/>
    </row>
    <row r="185" spans="4:15">
      <c r="F185" s="3" t="str">
        <f>F210</f>
        <v xml:space="preserve">Mode C:  External Financing Constraint (specify on BoP dashboard),  FX Intervention allowed </v>
      </c>
      <c r="G185" s="3"/>
      <c r="H185" s="3"/>
      <c r="I185" s="3"/>
      <c r="J185" s="3"/>
      <c r="K185" s="3"/>
      <c r="L185" s="3"/>
      <c r="M185" s="3"/>
      <c r="N185" s="3"/>
      <c r="O185" s="3"/>
    </row>
    <row r="186" spans="4:15">
      <c r="H186" t="s">
        <v>259</v>
      </c>
      <c r="J186" t="s">
        <v>21</v>
      </c>
      <c r="L186" t="s">
        <v>22</v>
      </c>
      <c r="N186" t="s">
        <v>23</v>
      </c>
    </row>
    <row r="187" spans="4:15">
      <c r="F187" t="s">
        <v>133</v>
      </c>
      <c r="J187" s="37">
        <f>J58</f>
        <v>54.334840407637778</v>
      </c>
      <c r="L187" s="37">
        <f>L58</f>
        <v>54.334840407637778</v>
      </c>
      <c r="N187" s="37">
        <f>N58</f>
        <v>54.334840407637778</v>
      </c>
    </row>
    <row r="188" spans="4:15">
      <c r="F188" t="s">
        <v>324</v>
      </c>
      <c r="H188">
        <v>40</v>
      </c>
      <c r="J188" s="41">
        <f>$H188+'External Sector Dashboard'!J320*'External Sector Dashboard'!J15</f>
        <v>41.681517483663853</v>
      </c>
      <c r="L188" s="41">
        <f>$H188+'External Sector Dashboard'!L320*'External Sector Dashboard'!L15</f>
        <v>41.74960456980083</v>
      </c>
      <c r="N188" s="41">
        <f>$H188+'External Sector Dashboard'!N320*'External Sector Dashboard'!N15</f>
        <v>41.681517483664031</v>
      </c>
    </row>
    <row r="189" spans="4:15">
      <c r="F189" t="s">
        <v>325</v>
      </c>
      <c r="J189" s="37">
        <f>J190+J191+J192</f>
        <v>12.653322923973922</v>
      </c>
      <c r="L189" s="37">
        <f>L190+L191+L192</f>
        <v>12.585235837836946</v>
      </c>
      <c r="N189" s="37">
        <f>N190+N191+N192</f>
        <v>12.653322923973745</v>
      </c>
    </row>
    <row r="190" spans="4:15">
      <c r="F190" t="s">
        <v>136</v>
      </c>
      <c r="H190">
        <v>1</v>
      </c>
      <c r="J190" s="40">
        <f>J41+$H190</f>
        <v>6.6678868370907658</v>
      </c>
      <c r="L190" s="40">
        <f>L41+$H190</f>
        <v>6.6678868370907658</v>
      </c>
      <c r="N190" s="40">
        <f>N41+$H190</f>
        <v>6.6678868370907658</v>
      </c>
    </row>
    <row r="191" spans="4:15">
      <c r="D191" t="s">
        <v>370</v>
      </c>
      <c r="F191" t="str">
        <f>IF(H194="N","        Credit to banks/other -- RESIDUAL","       Credit to banks/fixed -- FIXED")</f>
        <v xml:space="preserve">       Credit to banks/fixed -- FIXED</v>
      </c>
      <c r="J191" s="37">
        <f>J187-J188-J190-J192</f>
        <v>5.9554360868831582</v>
      </c>
      <c r="L191" s="37">
        <f>L187-L188-L190-L192</f>
        <v>5.8873490007461813</v>
      </c>
      <c r="N191" s="37">
        <f>N187-N188-N190-N192</f>
        <v>5.9554360868829805</v>
      </c>
    </row>
    <row r="192" spans="4:15">
      <c r="F192" t="s">
        <v>138</v>
      </c>
      <c r="J192" s="37">
        <v>0.03</v>
      </c>
      <c r="L192" s="37">
        <v>0.03</v>
      </c>
      <c r="N192" s="37">
        <v>0.03</v>
      </c>
    </row>
    <row r="194" spans="6:14">
      <c r="F194" s="93" t="s">
        <v>326</v>
      </c>
      <c r="H194" s="94" t="s">
        <v>369</v>
      </c>
    </row>
    <row r="195" spans="6:14">
      <c r="F195" s="42" t="s">
        <v>139</v>
      </c>
      <c r="J195" s="26"/>
    </row>
    <row r="196" spans="6:14">
      <c r="F196" s="42" t="s">
        <v>140</v>
      </c>
      <c r="G196" s="43"/>
      <c r="H196" s="43"/>
      <c r="I196" s="43"/>
      <c r="J196" s="44"/>
      <c r="K196" s="45"/>
      <c r="L196" s="46">
        <f>L188-$J$65</f>
        <v>1.7496045698008302</v>
      </c>
      <c r="M196" s="45"/>
      <c r="N196" s="46">
        <f>N188-$J$65</f>
        <v>1.681517483664031</v>
      </c>
    </row>
    <row r="197" spans="6:14">
      <c r="F197" s="42" t="s">
        <v>141</v>
      </c>
      <c r="G197" s="43"/>
      <c r="H197" s="43"/>
      <c r="I197" s="43"/>
      <c r="J197" s="47"/>
      <c r="K197" s="48"/>
      <c r="L197" s="49">
        <f>L196/J41</f>
        <v>0.3086872797726628</v>
      </c>
      <c r="M197" s="48"/>
      <c r="N197" s="49">
        <f>N196/L41</f>
        <v>0.29667449827335057</v>
      </c>
    </row>
    <row r="198" spans="6:14">
      <c r="F198" s="42" t="s">
        <v>364</v>
      </c>
      <c r="J198" s="26">
        <f>'External Sector Dashboard'!J47</f>
        <v>0</v>
      </c>
      <c r="L198" s="26">
        <f>'External Sector Dashboard'!L47</f>
        <v>0</v>
      </c>
      <c r="N198" s="26">
        <f>'External Sector Dashboard'!N47</f>
        <v>0</v>
      </c>
    </row>
    <row r="199" spans="6:14">
      <c r="F199" t="s">
        <v>291</v>
      </c>
      <c r="J199">
        <v>6</v>
      </c>
      <c r="L199">
        <v>6</v>
      </c>
      <c r="N199">
        <v>6</v>
      </c>
    </row>
    <row r="200" spans="6:14">
      <c r="F200" t="s">
        <v>292</v>
      </c>
      <c r="J200" s="1" t="e">
        <f>J188/(J199*J73)</f>
        <v>#DIV/0!</v>
      </c>
      <c r="K200" s="1"/>
      <c r="L200" s="1">
        <f>L188/(L199*L73)</f>
        <v>-1.570817917188901</v>
      </c>
      <c r="M200" s="1"/>
      <c r="N200" s="1" t="e">
        <f>N188/(N199*N73)</f>
        <v>#DIV/0!</v>
      </c>
    </row>
    <row r="201" spans="6:14">
      <c r="J201" s="1"/>
      <c r="K201" s="1"/>
      <c r="L201" s="1"/>
      <c r="M201" s="1"/>
      <c r="N201" t="str">
        <f>IF('External Sector Dashboard'!N76="Y",'Fiscal and CB Dashboard'!H188+'External Sector Dashboard'!N89*'Fiscal and CB Dashboard'!N198,"NA")</f>
        <v>NA</v>
      </c>
    </row>
    <row r="208" spans="6:14">
      <c r="F208" t="s">
        <v>371</v>
      </c>
    </row>
    <row r="209" spans="6:14">
      <c r="F209" t="s">
        <v>378</v>
      </c>
    </row>
    <row r="210" spans="6:14">
      <c r="F210" t="s">
        <v>372</v>
      </c>
    </row>
    <row r="217" spans="6:14">
      <c r="F217" t="s">
        <v>365</v>
      </c>
    </row>
    <row r="219" spans="6:14">
      <c r="F219" t="s">
        <v>133</v>
      </c>
      <c r="J219" s="37">
        <f>J64</f>
        <v>54.334840407637778</v>
      </c>
      <c r="L219" s="37">
        <f>L64</f>
        <v>54.334840407637778</v>
      </c>
      <c r="N219" s="37">
        <f>N64</f>
        <v>54.334840407637778</v>
      </c>
    </row>
    <row r="220" spans="6:14">
      <c r="F220" t="s">
        <v>324</v>
      </c>
      <c r="H220">
        <v>40</v>
      </c>
      <c r="J220" s="41">
        <f>$H220+'External Sector Dashboard'!J414*'External Sector Dashboard'!J15</f>
        <v>35.473596691584646</v>
      </c>
      <c r="L220" s="41">
        <f>$H220+'External Sector Dashboard'!L414*'External Sector Dashboard'!L15</f>
        <v>35.541683777721623</v>
      </c>
      <c r="N220" s="41">
        <f>$H220+'External Sector Dashboard'!N414*'External Sector Dashboard'!N15</f>
        <v>60.305279859901646</v>
      </c>
    </row>
    <row r="221" spans="6:14">
      <c r="F221" t="s">
        <v>325</v>
      </c>
      <c r="J221" s="37">
        <f>J222+J223+J224</f>
        <v>18.861243716053131</v>
      </c>
      <c r="L221" s="37">
        <f>L222+L223+L224</f>
        <v>18.793156629916155</v>
      </c>
      <c r="N221" s="37">
        <f>N222+N223+N224</f>
        <v>-5.9704394522638671</v>
      </c>
    </row>
    <row r="222" spans="6:14">
      <c r="F222" t="s">
        <v>136</v>
      </c>
      <c r="H222">
        <f>H67</f>
        <v>1</v>
      </c>
      <c r="J222" s="40">
        <f>$H$222+J41</f>
        <v>6.6678868370907658</v>
      </c>
      <c r="L222" s="40">
        <f>$H$222+L41</f>
        <v>6.6678868370907658</v>
      </c>
      <c r="N222" s="40">
        <f>$H$222+N41</f>
        <v>6.6678868370907658</v>
      </c>
    </row>
    <row r="223" spans="6:14">
      <c r="F223" t="s">
        <v>137</v>
      </c>
      <c r="J223" s="37">
        <f>J219-J220-J222-J224</f>
        <v>12.163356878962366</v>
      </c>
      <c r="L223" s="37">
        <f>L219-L220-L222-L224</f>
        <v>12.095269792825389</v>
      </c>
      <c r="N223" s="37">
        <f>N219-N220-N222-N224</f>
        <v>-12.668326289354633</v>
      </c>
    </row>
    <row r="224" spans="6:14">
      <c r="F224" t="s">
        <v>138</v>
      </c>
      <c r="J224" s="37">
        <v>0.03</v>
      </c>
      <c r="L224" s="37">
        <v>0.03</v>
      </c>
      <c r="N224" s="37">
        <v>0.03</v>
      </c>
    </row>
  </sheetData>
  <sheetProtection algorithmName="SHA-512" hashValue="T7epPAglsfTMRicuZsILEYajJwPWoaWeBuVg027vqqJdqziy5Vh635z4jf83QRZohZCKMIni1FSkGpkE2i4HFg==" saltValue="3kaY5dqYQPPN+Eo/ReRzjQ==" spinCount="100000" sheet="1" objects="1" scenarios="1"/>
  <protectedRanges>
    <protectedRange sqref="H43" name="Range4"/>
    <protectedRange sqref="N45:N46" name="Range3"/>
    <protectedRange sqref="L45:L46" name="Range2"/>
    <protectedRange sqref="J45:J46" name="Range1"/>
  </protectedRanges>
  <dataValidations disablePrompts="1" count="1">
    <dataValidation type="list" allowBlank="1" showInputMessage="1" showErrorMessage="1" sqref="F142">
      <formula1>$F$208:$F$210</formula1>
    </dataValidation>
  </dataValidation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DSMT4" shapeId="6146" r:id="rId4">
          <objectPr defaultSize="0" autoPict="0" r:id="rId5">
            <anchor moveWithCells="1">
              <from>
                <xdr:col>7</xdr:col>
                <xdr:colOff>0</xdr:colOff>
                <xdr:row>88</xdr:row>
                <xdr:rowOff>47625</xdr:rowOff>
              </from>
              <to>
                <xdr:col>7</xdr:col>
                <xdr:colOff>314325</xdr:colOff>
                <xdr:row>89</xdr:row>
                <xdr:rowOff>57150</xdr:rowOff>
              </to>
            </anchor>
          </objectPr>
        </oleObject>
      </mc:Choice>
      <mc:Fallback>
        <oleObject progId="Equation.DSMT4" shapeId="6146" r:id="rId4"/>
      </mc:Fallback>
    </mc:AlternateContent>
    <mc:AlternateContent xmlns:mc="http://schemas.openxmlformats.org/markup-compatibility/2006">
      <mc:Choice Requires="x14">
        <oleObject progId="Equation.DSMT4" shapeId="6147" r:id="rId6">
          <objectPr defaultSize="0" autoPict="0" r:id="rId7">
            <anchor moveWithCells="1">
              <from>
                <xdr:col>7</xdr:col>
                <xdr:colOff>9525</xdr:colOff>
                <xdr:row>92</xdr:row>
                <xdr:rowOff>19050</xdr:rowOff>
              </from>
              <to>
                <xdr:col>7</xdr:col>
                <xdr:colOff>295275</xdr:colOff>
                <xdr:row>93</xdr:row>
                <xdr:rowOff>85725</xdr:rowOff>
              </to>
            </anchor>
          </objectPr>
        </oleObject>
      </mc:Choice>
      <mc:Fallback>
        <oleObject progId="Equation.DSMT4" shapeId="6147" r:id="rId6"/>
      </mc:Fallback>
    </mc:AlternateContent>
    <mc:AlternateContent xmlns:mc="http://schemas.openxmlformats.org/markup-compatibility/2006">
      <mc:Choice Requires="x14">
        <oleObject progId="Equation.DSMT4" shapeId="6149" r:id="rId8">
          <objectPr defaultSize="0" autoPict="0" r:id="rId9">
            <anchor moveWithCells="1">
              <from>
                <xdr:col>16</xdr:col>
                <xdr:colOff>381000</xdr:colOff>
                <xdr:row>11</xdr:row>
                <xdr:rowOff>180975</xdr:rowOff>
              </from>
              <to>
                <xdr:col>22</xdr:col>
                <xdr:colOff>47625</xdr:colOff>
                <xdr:row>13</xdr:row>
                <xdr:rowOff>171450</xdr:rowOff>
              </to>
            </anchor>
          </objectPr>
        </oleObject>
      </mc:Choice>
      <mc:Fallback>
        <oleObject progId="Equation.DSMT4" shapeId="6149" r:id="rId8"/>
      </mc:Fallback>
    </mc:AlternateContent>
    <mc:AlternateContent xmlns:mc="http://schemas.openxmlformats.org/markup-compatibility/2006">
      <mc:Choice Requires="x14">
        <oleObject progId="Equation.DSMT4" shapeId="6156" r:id="rId10">
          <objectPr defaultSize="0" r:id="rId11">
            <anchor moveWithCells="1">
              <from>
                <xdr:col>5</xdr:col>
                <xdr:colOff>114300</xdr:colOff>
                <xdr:row>79</xdr:row>
                <xdr:rowOff>133350</xdr:rowOff>
              </from>
              <to>
                <xdr:col>7</xdr:col>
                <xdr:colOff>228600</xdr:colOff>
                <xdr:row>81</xdr:row>
                <xdr:rowOff>19050</xdr:rowOff>
              </to>
            </anchor>
          </objectPr>
        </oleObject>
      </mc:Choice>
      <mc:Fallback>
        <oleObject progId="Equation.DSMT4" shapeId="6156" r:id="rId10"/>
      </mc:Fallback>
    </mc:AlternateContent>
    <mc:AlternateContent xmlns:mc="http://schemas.openxmlformats.org/markup-compatibility/2006">
      <mc:Choice Requires="x14">
        <oleObject progId="Equation.DSMT4" shapeId="6157" r:id="rId12">
          <objectPr defaultSize="0" r:id="rId13">
            <anchor moveWithCells="1">
              <from>
                <xdr:col>6</xdr:col>
                <xdr:colOff>47625</xdr:colOff>
                <xdr:row>81</xdr:row>
                <xdr:rowOff>171450</xdr:rowOff>
              </from>
              <to>
                <xdr:col>6</xdr:col>
                <xdr:colOff>323850</xdr:colOff>
                <xdr:row>82</xdr:row>
                <xdr:rowOff>180975</xdr:rowOff>
              </to>
            </anchor>
          </objectPr>
        </oleObject>
      </mc:Choice>
      <mc:Fallback>
        <oleObject progId="Equation.DSMT4" shapeId="6157" r:id="rId1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 (2)</vt:lpstr>
      <vt:lpstr>Sheet1</vt:lpstr>
      <vt:lpstr>GRAPHS ONLY</vt:lpstr>
      <vt:lpstr>NEW Assignment Problem</vt:lpstr>
      <vt:lpstr>Graphs for Paper</vt:lpstr>
      <vt:lpstr>Streamlined Dashboard</vt:lpstr>
      <vt:lpstr> Graphs Fiscal, External</vt:lpstr>
      <vt:lpstr>OPTIONAL FULL MODEL APPENDIX</vt:lpstr>
      <vt:lpstr>Fiscal and CB Dashboard</vt:lpstr>
      <vt:lpstr>External Sector Dashboard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Evan Tanner</dc:creator>
  <cp:lastModifiedBy>E. Tanner</cp:lastModifiedBy>
  <dcterms:created xsi:type="dcterms:W3CDTF">2015-04-25T18:43:10Z</dcterms:created>
  <dcterms:modified xsi:type="dcterms:W3CDTF">2017-05-16T15:14:44Z</dcterms:modified>
</cp:coreProperties>
</file>